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EstaPastaDeTrabalho"/>
  <mc:AlternateContent xmlns:mc="http://schemas.openxmlformats.org/markup-compatibility/2006">
    <mc:Choice Requires="x15">
      <x15ac:absPath xmlns:x15ac="http://schemas.microsoft.com/office/spreadsheetml/2010/11/ac" url="C:\Users\Yasmin\Desktop\NR 08\ATUALIZAÇÃO PMSB\"/>
    </mc:Choice>
  </mc:AlternateContent>
  <xr:revisionPtr revIDLastSave="0" documentId="13_ncr:1_{39EBB6A6-6C6A-40F8-9ED9-D5B4FB401F6B}" xr6:coauthVersionLast="47" xr6:coauthVersionMax="47" xr10:uidLastSave="{00000000-0000-0000-0000-000000000000}"/>
  <bookViews>
    <workbookView xWindow="-120" yWindow="-120" windowWidth="29040" windowHeight="15840" xr2:uid="{00000000-000D-0000-FFFF-FFFF00000000}"/>
  </bookViews>
  <sheets>
    <sheet name="Introdução" sheetId="1" r:id="rId1"/>
    <sheet name="IAA" sheetId="3" r:id="rId2"/>
    <sheet name="ICA" sheetId="4" r:id="rId3"/>
    <sheet name="IAE" sheetId="5" r:id="rId4"/>
    <sheet name="ICE" sheetId="6" r:id="rId5"/>
    <sheet name="I-01" sheetId="7" r:id="rId6"/>
    <sheet name="I-02" sheetId="8" r:id="rId7"/>
    <sheet name="I-03" sheetId="9" r:id="rId8"/>
    <sheet name="I-04" sheetId="10" r:id="rId9"/>
    <sheet name="I-05" sheetId="11" r:id="rId10"/>
    <sheet name="Fichas" sheetId="13" r:id="rId11"/>
    <sheet name="Auxiliar" sheetId="14"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F35" i="6"/>
  <c r="G29" i="5"/>
  <c r="H29" i="5"/>
  <c r="G35" i="6"/>
  <c r="H19" i="5"/>
  <c r="H15" i="5"/>
  <c r="H23" i="5"/>
  <c r="I29" i="5" l="1"/>
  <c r="K29" i="5"/>
  <c r="L29" i="5"/>
  <c r="M29" i="5"/>
  <c r="N29" i="5"/>
  <c r="O29" i="5"/>
  <c r="F28" i="11" l="1"/>
  <c r="H28" i="11" s="1"/>
  <c r="F29" i="10"/>
  <c r="F13" i="10" s="1"/>
  <c r="P25" i="10"/>
  <c r="P21" i="10"/>
  <c r="Q21" i="10" s="1"/>
  <c r="P31" i="10" s="1"/>
  <c r="P17" i="10"/>
  <c r="F31" i="9"/>
  <c r="F11" i="9" s="1"/>
  <c r="P27" i="9"/>
  <c r="P23" i="9"/>
  <c r="Q23" i="9" s="1"/>
  <c r="P33" i="9" s="1"/>
  <c r="P19" i="9"/>
  <c r="F31" i="8"/>
  <c r="P27" i="8"/>
  <c r="P23" i="8"/>
  <c r="Q23" i="8" s="1"/>
  <c r="P33" i="8" s="1"/>
  <c r="P19" i="8"/>
  <c r="F11" i="8"/>
  <c r="I20" i="11" l="1"/>
  <c r="P20" i="11"/>
  <c r="Q20" i="11" s="1"/>
  <c r="P30" i="11" s="1"/>
  <c r="F12" i="11"/>
  <c r="G28" i="11"/>
  <c r="J20" i="11"/>
  <c r="K20" i="11"/>
  <c r="L20" i="11"/>
  <c r="M20" i="11"/>
  <c r="H20" i="11"/>
  <c r="F30" i="11" s="1"/>
  <c r="N20" i="11"/>
  <c r="O20" i="11"/>
  <c r="G29" i="10"/>
  <c r="H29" i="10"/>
  <c r="G31" i="9"/>
  <c r="H31" i="9"/>
  <c r="G31" i="8"/>
  <c r="H31" i="8"/>
  <c r="P28" i="7"/>
  <c r="F32" i="7"/>
  <c r="H32" i="7" s="1"/>
  <c r="M24" i="7" s="1"/>
  <c r="P24" i="7"/>
  <c r="Q24" i="7" s="1"/>
  <c r="P34" i="7" s="1"/>
  <c r="P20" i="7"/>
  <c r="I30" i="11" l="1"/>
  <c r="J16" i="11"/>
  <c r="N16" i="11"/>
  <c r="I16" i="11"/>
  <c r="O16" i="11"/>
  <c r="F16" i="7"/>
  <c r="G32" i="7"/>
  <c r="J20" i="7" s="1"/>
  <c r="K16" i="11"/>
  <c r="P16" i="11"/>
  <c r="G30" i="11"/>
  <c r="N30" i="11"/>
  <c r="L16" i="11"/>
  <c r="K30" i="11"/>
  <c r="M16" i="11"/>
  <c r="J30" i="11"/>
  <c r="H16" i="11"/>
  <c r="L30" i="11"/>
  <c r="M30" i="11"/>
  <c r="H30" i="11"/>
  <c r="O30" i="11"/>
  <c r="I21" i="10"/>
  <c r="H21" i="10"/>
  <c r="F31" i="10" s="1"/>
  <c r="K21" i="10"/>
  <c r="L21" i="10"/>
  <c r="J21" i="10"/>
  <c r="N21" i="10"/>
  <c r="K17" i="10"/>
  <c r="M17" i="10"/>
  <c r="L17" i="10"/>
  <c r="J17" i="10"/>
  <c r="I17" i="10"/>
  <c r="H17" i="10"/>
  <c r="O17" i="10"/>
  <c r="N17" i="10"/>
  <c r="M21" i="10"/>
  <c r="O21" i="10"/>
  <c r="H23" i="9"/>
  <c r="O23" i="9"/>
  <c r="J23" i="9"/>
  <c r="K23" i="9"/>
  <c r="L23" i="9"/>
  <c r="K19" i="9"/>
  <c r="I19" i="9"/>
  <c r="J19" i="9"/>
  <c r="H19" i="9"/>
  <c r="N19" i="9"/>
  <c r="O19" i="9"/>
  <c r="M19" i="9"/>
  <c r="L19" i="9"/>
  <c r="M23" i="9"/>
  <c r="N23" i="9"/>
  <c r="I23" i="9"/>
  <c r="J23" i="8"/>
  <c r="H23" i="8"/>
  <c r="N23" i="8"/>
  <c r="M23" i="8"/>
  <c r="O23" i="8"/>
  <c r="L23" i="8"/>
  <c r="K23" i="8"/>
  <c r="I23" i="8"/>
  <c r="L19" i="8"/>
  <c r="K19" i="8"/>
  <c r="I19" i="8"/>
  <c r="H19" i="8"/>
  <c r="O19" i="8"/>
  <c r="N19" i="8"/>
  <c r="M19" i="8"/>
  <c r="J19" i="8"/>
  <c r="H24" i="7"/>
  <c r="O24" i="7"/>
  <c r="N24" i="7"/>
  <c r="M34" i="7" s="1"/>
  <c r="L24" i="7"/>
  <c r="K24" i="7"/>
  <c r="J24" i="7"/>
  <c r="I24" i="7"/>
  <c r="F33" i="6"/>
  <c r="H33" i="6" s="1"/>
  <c r="K25" i="6" s="1"/>
  <c r="P23" i="5"/>
  <c r="Q23" i="5" s="1"/>
  <c r="P19" i="5"/>
  <c r="P15" i="5"/>
  <c r="F27" i="5"/>
  <c r="F11" i="5" s="1"/>
  <c r="P29" i="4"/>
  <c r="Q29" i="4" s="1"/>
  <c r="F33" i="4"/>
  <c r="P25" i="4"/>
  <c r="P21" i="4"/>
  <c r="F34" i="7" l="1"/>
  <c r="G34" i="7"/>
  <c r="L20" i="7"/>
  <c r="J33" i="9"/>
  <c r="H24" i="11"/>
  <c r="I24" i="11" s="1"/>
  <c r="J24" i="11" s="1"/>
  <c r="K24" i="11" s="1"/>
  <c r="L24" i="11" s="1"/>
  <c r="M24" i="11" s="1"/>
  <c r="N24" i="11" s="1"/>
  <c r="L33" i="9"/>
  <c r="J33" i="8"/>
  <c r="M20" i="7"/>
  <c r="I20" i="7"/>
  <c r="N20" i="7"/>
  <c r="H20" i="7"/>
  <c r="O20" i="7"/>
  <c r="K20" i="7"/>
  <c r="G33" i="6"/>
  <c r="F17" i="6"/>
  <c r="Q19" i="5"/>
  <c r="P29" i="5" s="1"/>
  <c r="G33" i="4"/>
  <c r="O21" i="4" s="1"/>
  <c r="F17" i="4"/>
  <c r="Q25" i="4"/>
  <c r="P35" i="4" s="1"/>
  <c r="K31" i="10"/>
  <c r="I31" i="10"/>
  <c r="G31" i="10"/>
  <c r="L31" i="10"/>
  <c r="M31" i="10"/>
  <c r="N31" i="10"/>
  <c r="O31" i="10"/>
  <c r="J31" i="10"/>
  <c r="H31" i="10"/>
  <c r="H33" i="9"/>
  <c r="K33" i="9"/>
  <c r="I33" i="9"/>
  <c r="N33" i="9"/>
  <c r="O33" i="9"/>
  <c r="M33" i="9"/>
  <c r="G33" i="9"/>
  <c r="F33" i="9" s="1"/>
  <c r="K33" i="8"/>
  <c r="M33" i="8"/>
  <c r="H33" i="8"/>
  <c r="O33" i="8"/>
  <c r="N33" i="8"/>
  <c r="L33" i="8"/>
  <c r="G33" i="8"/>
  <c r="F33" i="8" s="1"/>
  <c r="I33" i="8"/>
  <c r="I34" i="7"/>
  <c r="J34" i="7"/>
  <c r="H34" i="7"/>
  <c r="K34" i="7"/>
  <c r="N34" i="7"/>
  <c r="O34" i="7"/>
  <c r="L34" i="7"/>
  <c r="H28" i="7"/>
  <c r="J25" i="6"/>
  <c r="O25" i="6"/>
  <c r="P25" i="6"/>
  <c r="I25" i="6"/>
  <c r="M25" i="6"/>
  <c r="N25" i="6"/>
  <c r="H21" i="6"/>
  <c r="P21" i="6"/>
  <c r="H25" i="6"/>
  <c r="L25" i="6"/>
  <c r="K35" i="6" s="1"/>
  <c r="G27" i="5"/>
  <c r="M15" i="5" s="1"/>
  <c r="H27" i="5"/>
  <c r="L19" i="5" s="1"/>
  <c r="H21" i="4"/>
  <c r="L21" i="4"/>
  <c r="H33" i="4"/>
  <c r="O25" i="4" s="1"/>
  <c r="O35" i="4" s="1"/>
  <c r="F27" i="3"/>
  <c r="I28" i="7" l="1"/>
  <c r="J28" i="7" s="1"/>
  <c r="K28" i="7" s="1"/>
  <c r="L28" i="7" s="1"/>
  <c r="M28" i="7" s="1"/>
  <c r="N28" i="7" s="1"/>
  <c r="O28" i="7" s="1"/>
  <c r="K21" i="4"/>
  <c r="M21" i="4"/>
  <c r="N21" i="4"/>
  <c r="J21" i="4"/>
  <c r="J25" i="4"/>
  <c r="M25" i="4"/>
  <c r="N25" i="4"/>
  <c r="H27" i="3"/>
  <c r="G27" i="3"/>
  <c r="F11" i="3"/>
  <c r="H15" i="3"/>
  <c r="N19" i="5"/>
  <c r="P24" i="11"/>
  <c r="O24" i="11"/>
  <c r="J21" i="6"/>
  <c r="O21" i="6"/>
  <c r="I21" i="6"/>
  <c r="K21" i="6"/>
  <c r="L21" i="6"/>
  <c r="M21" i="6"/>
  <c r="N21" i="6"/>
  <c r="I21" i="4"/>
  <c r="H27" i="9"/>
  <c r="I27" i="9" s="1"/>
  <c r="J27" i="9" s="1"/>
  <c r="K27" i="9" s="1"/>
  <c r="L27" i="9" s="1"/>
  <c r="M27" i="9" s="1"/>
  <c r="N27" i="9" s="1"/>
  <c r="O27" i="9" s="1"/>
  <c r="H25" i="10"/>
  <c r="I25" i="10" s="1"/>
  <c r="J25" i="10" s="1"/>
  <c r="K25" i="10" s="1"/>
  <c r="L25" i="10" s="1"/>
  <c r="M25" i="10" s="1"/>
  <c r="N25" i="10" s="1"/>
  <c r="O25" i="10" s="1"/>
  <c r="Q25" i="6"/>
  <c r="P35" i="6" s="1"/>
  <c r="K19" i="5"/>
  <c r="M19" i="5"/>
  <c r="K15" i="5"/>
  <c r="P19" i="3"/>
  <c r="P15" i="3"/>
  <c r="M35" i="6"/>
  <c r="N35" i="6"/>
  <c r="O35" i="6"/>
  <c r="H35" i="6"/>
  <c r="L35" i="6"/>
  <c r="J35" i="6"/>
  <c r="I35" i="6"/>
  <c r="J15" i="5"/>
  <c r="I15" i="5"/>
  <c r="O15" i="5"/>
  <c r="N15" i="5"/>
  <c r="J19" i="5"/>
  <c r="L15" i="5"/>
  <c r="I19" i="5"/>
  <c r="O19" i="5"/>
  <c r="I25" i="4"/>
  <c r="H25" i="4"/>
  <c r="G35" i="4" s="1"/>
  <c r="L25" i="4"/>
  <c r="K25" i="4"/>
  <c r="J35" i="4" s="1"/>
  <c r="K35" i="4" l="1"/>
  <c r="H35" i="4"/>
  <c r="L35" i="4"/>
  <c r="M35" i="4"/>
  <c r="N35" i="4"/>
  <c r="I35" i="4"/>
  <c r="Q19" i="3"/>
  <c r="P29" i="3" s="1"/>
  <c r="H27" i="8"/>
  <c r="I27" i="8" s="1"/>
  <c r="J27" i="8" s="1"/>
  <c r="K27" i="8" s="1"/>
  <c r="L27" i="8" s="1"/>
  <c r="M27" i="8" s="1"/>
  <c r="N27" i="8" s="1"/>
  <c r="O27" i="8" s="1"/>
  <c r="J29" i="5"/>
  <c r="N19" i="3"/>
  <c r="O19" i="3"/>
  <c r="N15" i="3"/>
  <c r="O15" i="3"/>
  <c r="H19" i="3"/>
  <c r="G29" i="3" s="1"/>
  <c r="H29" i="6"/>
  <c r="I29" i="6" s="1"/>
  <c r="J29" i="6" s="1"/>
  <c r="K29" i="6" s="1"/>
  <c r="L29" i="6" s="1"/>
  <c r="M29" i="6" s="1"/>
  <c r="N29" i="6" s="1"/>
  <c r="O29" i="6" s="1"/>
  <c r="P29" i="6" s="1"/>
  <c r="Q29" i="6" s="1"/>
  <c r="F35" i="4" l="1"/>
  <c r="N29" i="3"/>
  <c r="O29" i="3"/>
  <c r="H29" i="4"/>
  <c r="I23" i="5"/>
  <c r="J23" i="5" s="1"/>
  <c r="K23" i="5" s="1"/>
  <c r="L23" i="5" s="1"/>
  <c r="M23" i="5" s="1"/>
  <c r="N23" i="5" s="1"/>
  <c r="O23" i="5" s="1"/>
  <c r="I29" i="4" l="1"/>
  <c r="J29" i="4" s="1"/>
  <c r="K29" i="4" s="1"/>
  <c r="L29" i="4" s="1"/>
  <c r="M29" i="4" s="1"/>
  <c r="N29" i="4" s="1"/>
  <c r="O29" i="4" s="1"/>
  <c r="H23" i="3"/>
  <c r="P23" i="3"/>
  <c r="Q23" i="3" s="1"/>
  <c r="L15" i="3"/>
  <c r="M15" i="3"/>
  <c r="J15" i="3"/>
  <c r="K15" i="3"/>
  <c r="I15" i="3"/>
  <c r="L19" i="3"/>
  <c r="M19" i="3" l="1"/>
  <c r="J19" i="3"/>
  <c r="K19" i="3"/>
  <c r="K29" i="3" s="1"/>
  <c r="I19" i="3"/>
  <c r="H29" i="3" s="1"/>
  <c r="J29" i="3" l="1"/>
  <c r="L29" i="3"/>
  <c r="M29" i="3"/>
  <c r="I29" i="3"/>
  <c r="F29" i="3" l="1"/>
  <c r="I23" i="3" s="1"/>
  <c r="J23" i="3" s="1"/>
  <c r="K23" i="3" s="1"/>
  <c r="L23" i="3" s="1"/>
  <c r="M23" i="3" s="1"/>
  <c r="N23" i="3" s="1"/>
  <c r="O23" i="3" s="1"/>
</calcChain>
</file>

<file path=xl/sharedStrings.xml><?xml version="1.0" encoding="utf-8"?>
<sst xmlns="http://schemas.openxmlformats.org/spreadsheetml/2006/main" count="287" uniqueCount="97">
  <si>
    <t>IAA - Índice de atendimento de abastecimento de água</t>
  </si>
  <si>
    <t>Informações iniciais</t>
  </si>
  <si>
    <t>Quantidade de economias residenciais ativas de água</t>
  </si>
  <si>
    <t>Insira um número inteiro. O prestador deve fornecer essa informação ao município para a área de abrangência estabelecida no contrato de prestação do serviço. Em caso de múltiplas concessões, será necessário somar os valores informados por cada um dos prestadores (inclusive os casos de prestação direta)</t>
  </si>
  <si>
    <t>Quantidade de domicílios residenciais com solução alternativa de água prevista pela ERI</t>
  </si>
  <si>
    <t>Quantidade de domicílios ocupados existentes</t>
  </si>
  <si>
    <t>Insira um número inteiro. Essa informação pode ser obtida do IBGE ou estimada. O prestador de serviços também poderá fornecer essa informação, mas lembre-se que a informação de um determinado prestador está relacionada apenas à área de atuação desse prestador.</t>
  </si>
  <si>
    <t>Os dados apresentados acima são referentes a qual ano?</t>
  </si>
  <si>
    <t>Em que ano você espera que seu município alcance 99% neste indicador?</t>
  </si>
  <si>
    <t>Insira um ano. Esse ano deve ser igual ou inferior a 2033 e deve estar alinhado com o atual contrato.</t>
  </si>
  <si>
    <t>Proposição de metas com crescimento uniforme</t>
  </si>
  <si>
    <t>Ano</t>
  </si>
  <si>
    <t>Meta (%)</t>
  </si>
  <si>
    <t>Proposição de metas com final acelerado</t>
  </si>
  <si>
    <t>Proposição de metas com início acelerado</t>
  </si>
  <si>
    <t>Atual</t>
  </si>
  <si>
    <t>Taxa 1</t>
  </si>
  <si>
    <t>Taxa 2</t>
  </si>
  <si>
    <t>Taxa  3 -</t>
  </si>
  <si>
    <t>ICA - Índice de cobertura de abastecimento de água</t>
  </si>
  <si>
    <t>Insira um número inteiro. O prestador deve fornecer essa informação ao município para a área de abrangência estabelecida no contrato de prestação do serviço. Em caso de multiplas concessões, será necessário somar os valores informados por cada um dos prestadores (inclusive os casos de prestação direta)</t>
  </si>
  <si>
    <t>Quantidade de economias não residenciais ativas de água</t>
  </si>
  <si>
    <t>Quantidade de economias residenciais inativas de água</t>
  </si>
  <si>
    <t>Quantidade de economias não residenciais inativas de água</t>
  </si>
  <si>
    <t>Quantidade de economias residenciais factíveis de água</t>
  </si>
  <si>
    <t>Quantidade de economias não residenciais factíveis de água</t>
  </si>
  <si>
    <t>Quantidade de domicílios não residenciais com solução alternativa de água prevista pela ERI</t>
  </si>
  <si>
    <t>Quantidade de domicílios residenciais e não residenciais, ocupados ou não ocupados, existentes</t>
  </si>
  <si>
    <t>Taxa 3 -</t>
  </si>
  <si>
    <t>IAE - Índice de atendimento de esgotamento sanitário</t>
  </si>
  <si>
    <t>Quantidade de economias residenciais ativas com tratamento de esgoto</t>
  </si>
  <si>
    <t>Quantidade de domicílios residenciais com solução alternativa de esgoto prevista pela ERI</t>
  </si>
  <si>
    <t>Em que ano você espera que seu município alcance 90% neste indicador?</t>
  </si>
  <si>
    <t>ICE - Índice de cobertura de esgotamento sanitário</t>
  </si>
  <si>
    <t>Quantidade de economias não residenciais ativas com tratamento de esgoto</t>
  </si>
  <si>
    <t>Quantidade de economias residenciais inativas com tratamento de esgoto</t>
  </si>
  <si>
    <t>Quantidade de economias não residenciais inativas com tratamento de esgoto</t>
  </si>
  <si>
    <t>Quantidade de economias residenciais factíveis com tratamento de esgoto</t>
  </si>
  <si>
    <t>Quantidade de economias não residenciais factíveis com tratamento de esgoto</t>
  </si>
  <si>
    <t>Quantidade de domicílios não residenciais com solução alternativa de esgoto prevista pela ERI</t>
  </si>
  <si>
    <t>I-01: Índice de perdas de água na distribuição por ligação</t>
  </si>
  <si>
    <t>Volume de água produzido (metros cúbicos)</t>
  </si>
  <si>
    <t>Volume de água tratado importado (metros cúbicos)</t>
  </si>
  <si>
    <t>Volume de água autorizado não cobrado (metros cúbicos)</t>
  </si>
  <si>
    <t>Volume de água consumido (metros cúbicos)</t>
  </si>
  <si>
    <t>Volume de água tratada exportado (metros cúbicos)</t>
  </si>
  <si>
    <t>Ligações ativas de água no ano de referência (número de ligações)</t>
  </si>
  <si>
    <t>Ligações ativas de água no ano anterior ao de referência (número de ligações)</t>
  </si>
  <si>
    <t>Qual é a meta desejada para o seu município em L/lig./dia?</t>
  </si>
  <si>
    <t>Apresente uma meta melhor ou igual a atual situação do município. A NR n° 09/2024 da ANA considera como excelência valores abaixo de 216. Avalie também a Portaria MCID n° 788/2024.</t>
  </si>
  <si>
    <t>Em que ano você espera que seu município alcance a meta desejada?</t>
  </si>
  <si>
    <t>I-02: Índice das análises de coliformes totais da água no padrão estabelecido</t>
  </si>
  <si>
    <t>Quantidade de amostras para coliformes totais com resultados dentro do padrão</t>
  </si>
  <si>
    <t>Quantidade de amostras analisadas para coliformes totais</t>
  </si>
  <si>
    <t>Qual é a meta desejada para o seu município em %?</t>
  </si>
  <si>
    <t>Apresente uma meta melhor ou igual a atual situação do município. A NR n° 09/2024 da ANA considera como excelência valores acima de 95%.</t>
  </si>
  <si>
    <t>Atenção</t>
  </si>
  <si>
    <t>Junto a este indicador é importante que o plano de saneamento básico mencione que é necessário que, ao menos, 95%</t>
  </si>
  <si>
    <t>do plano de amostragem para o parâmetro na saída do tratamento e rede de distribuição seja cumprido.</t>
  </si>
  <si>
    <t>Proposição de metas com fim acelerado</t>
  </si>
  <si>
    <t>I-03: Índice das análises de DBO do esgoto na saída do tratamento no padrão estabelecido</t>
  </si>
  <si>
    <t>Quantidade de amostras analisadas da concentração de DBO com resultado dentro do padrão</t>
  </si>
  <si>
    <t>Quantidade de amostras analisadas para aferição da concentração de DBO na(s) ETE(s)</t>
  </si>
  <si>
    <t>Apresente uma meta melhor ou igual a atual situação do município. A NR n° 09/2024 da ANA considera como excelência valores acima de 90%.</t>
  </si>
  <si>
    <t>do plano de amostragem para o parâmetro na saída do tratamento seja cumprido</t>
  </si>
  <si>
    <t>I-04: Índice de intermitência do serviço de abastecimento de água</t>
  </si>
  <si>
    <t>Quantidade de economias ativas atingidas por paralisações</t>
  </si>
  <si>
    <t>Insira um número inteiro. Essa informação pode ser obtida no SNIS/SINISA ou via prestador de serviços.</t>
  </si>
  <si>
    <t>Quantidade de economias ativas atingidas por interrupções sistemáticas</t>
  </si>
  <si>
    <t>Quantidade de economias ativas de água no ano de referência</t>
  </si>
  <si>
    <t>Quantidade de economias ativas de água no ano anterior ao de referência</t>
  </si>
  <si>
    <t>Apresente uma meta melhor ou igual a atual situação do município. A NR n° 09/2024 da ANA considera como excelência valores iguais ou abaixo de 67.</t>
  </si>
  <si>
    <t>I-05: Índice de intermitência do serviço de esgotamento sanitário</t>
  </si>
  <si>
    <t>Quantidade de reclamações de extravasamentos de esgoto registrados</t>
  </si>
  <si>
    <t>Extensão de rede pública de esgoto no ano de referência (km)</t>
  </si>
  <si>
    <t>Extensão de rede pública de esgoto no ano anterior ao de referência (km)</t>
  </si>
  <si>
    <t>Qual é a meta desejada para o seu município em registros por quilômetro de rede?</t>
  </si>
  <si>
    <t>Apresente uma meta melhor ou igual a atual situação do município. A NR n° 09/2024 da ANA considera como excelência valores iguais ou abaixo de 0,3.</t>
  </si>
  <si>
    <t>Ao longo desta página você tem acesso à ficha de todos os indicadores apresentados neste arquivo.</t>
  </si>
  <si>
    <t>As fichas estão dispostas lado a lado.</t>
  </si>
  <si>
    <t>IAA - Atendimento de água</t>
  </si>
  <si>
    <t>ICA - Cobertura de água</t>
  </si>
  <si>
    <t>IAE - Atendimento de esgoto</t>
  </si>
  <si>
    <t>ICE - Cobertura de esgoto</t>
  </si>
  <si>
    <t>I-01: Perdas de água</t>
  </si>
  <si>
    <t>I-02: Análises de coliformes</t>
  </si>
  <si>
    <t>I-03: Análises de DBO</t>
  </si>
  <si>
    <t>I-04: Intermitências de água</t>
  </si>
  <si>
    <t>I-05: Intermitências de esgoto</t>
  </si>
  <si>
    <t>Ano de dados</t>
  </si>
  <si>
    <t>Ano da meta</t>
  </si>
  <si>
    <t>Simulador de metas do Orcispar</t>
  </si>
  <si>
    <t>Insira o ano. Ideal que seja 2025.</t>
  </si>
  <si>
    <t>Insira um número inteiro. Essa informação é de gestão do município em parceria com o prestador.  Deve-se observar o disposto pela resolução do Orcispar 03/2026.</t>
  </si>
  <si>
    <t>Insira um número inteiro. Essa informação é de gestão do município em parceria com o prestador. Deve-se observar o disposto pela resolução do Orcispar 03/2026.</t>
  </si>
  <si>
    <t>Insira um número inteiro. Essa informação pode ser obtida no SINISA ou via prestador de serviços.</t>
  </si>
  <si>
    <r>
      <t xml:space="preserve">Seja bem-vindo(a) à </t>
    </r>
    <r>
      <rPr>
        <b/>
        <sz val="11"/>
        <color theme="1"/>
        <rFont val="Calibri"/>
        <family val="2"/>
      </rPr>
      <t>planilha de simulação de metas</t>
    </r>
    <r>
      <rPr>
        <sz val="11"/>
        <color theme="1"/>
        <rFont val="Calibri"/>
        <family val="2"/>
      </rPr>
      <t xml:space="preserve"> para indicadores do </t>
    </r>
    <r>
      <rPr>
        <b/>
        <sz val="11"/>
        <color theme="1"/>
        <rFont val="Calibri"/>
        <family val="2"/>
      </rPr>
      <t>Plano Municipal ou Regional de Saneamento Básico</t>
    </r>
    <r>
      <rPr>
        <sz val="11"/>
        <color theme="1"/>
        <rFont val="Calibri"/>
        <family val="2"/>
      </rPr>
      <t xml:space="preserve"> do seu município.
Conforme Capitulo II da Norma de Referência n° 08/2024, aprovada pela Resolução ANA n° 192/2024, e o Capítulo V da Norma de Referência n° 09/2024, aprovada pela Resolução ANA n° 211/2024, os planos de saneamento básico devem conter metas progressivas para os seguintes indicadores:
</t>
    </r>
    <r>
      <rPr>
        <sz val="8"/>
        <color theme="1"/>
        <rFont val="Calibri"/>
        <family val="2"/>
      </rPr>
      <t>▷</t>
    </r>
    <r>
      <rPr>
        <sz val="11"/>
        <color theme="1"/>
        <rFont val="Calibri"/>
        <family val="2"/>
      </rPr>
      <t xml:space="preserve"> </t>
    </r>
    <r>
      <rPr>
        <sz val="10"/>
        <color theme="1"/>
        <rFont val="Calibri"/>
        <family val="2"/>
      </rPr>
      <t>IAA - Índice de atendimento de abastecimento de água</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ICA - Índice de cobertura de abastecimento de água</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IAE - Índice de atendimento de esgotamento sanitário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 xml:space="preserve">ICE - Índice de cobertura de esgotamento sanitário
</t>
    </r>
    <r>
      <rPr>
        <sz val="8"/>
        <color theme="1"/>
        <rFont val="Calibri"/>
        <family val="2"/>
      </rPr>
      <t xml:space="preserve">▷ </t>
    </r>
    <r>
      <rPr>
        <sz val="10"/>
        <color theme="1"/>
        <rFont val="Calibri"/>
        <family val="2"/>
      </rPr>
      <t>I - 01: Índice de perdas de água na distribuição por ligação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- 02: Índice das análises de coliformes totais da água no padrão estabelecido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- 03: Índice das análises de demanda bioquímica de oxigênio - DBO do esgoto na saída do tratamento no padrão estabelecido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- 04: Índice de intermitência do serviço de abastecimento de água</t>
    </r>
    <r>
      <rPr>
        <sz val="11"/>
        <color theme="1"/>
        <rFont val="Calibri"/>
        <family val="2"/>
      </rPr>
      <t xml:space="preserve">
</t>
    </r>
    <r>
      <rPr>
        <sz val="8"/>
        <color theme="1"/>
        <rFont val="Calibri"/>
        <family val="2"/>
      </rPr>
      <t>▷</t>
    </r>
    <r>
      <rPr>
        <sz val="10"/>
        <color theme="1"/>
        <rFont val="Calibri"/>
        <family val="2"/>
      </rPr>
      <t xml:space="preserve"> I - 05: Índice de intermitência do serviço de esgotamento sanitário</t>
    </r>
    <r>
      <rPr>
        <sz val="11"/>
        <color theme="1"/>
        <rFont val="Calibri"/>
        <family val="2"/>
      </rPr>
      <t xml:space="preserve">
Assim, essa planilha tem o objetivo de </t>
    </r>
    <r>
      <rPr>
        <b/>
        <sz val="11"/>
        <color theme="1"/>
        <rFont val="Calibri"/>
        <family val="2"/>
      </rPr>
      <t>auxiliar os municípios</t>
    </r>
    <r>
      <rPr>
        <sz val="11"/>
        <color theme="1"/>
        <rFont val="Calibri"/>
        <family val="2"/>
      </rPr>
      <t xml:space="preserve"> na definição dessas metas. No menu ao lado, você poderá acessar cada um dos indicadores para, a partir de informações iniciais, simular as metas a serem adotadas pelo município. Caso tenha alguma dúvida, entre em contato conosco pelo Telefone/ WhatsApp (44) 3123-2830.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</si>
</sst>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sz val="11"/>
      <color theme="0"/>
      <name val="Aptos Narrow"/>
      <family val="2"/>
      <scheme val="minor"/>
    </font>
    <font>
      <sz val="11"/>
      <color theme="1"/>
      <name val="Calibri"/>
      <family val="2"/>
    </font>
    <font>
      <sz val="8"/>
      <color theme="1"/>
      <name val="Calibri"/>
      <family val="2"/>
    </font>
    <font>
      <sz val="10"/>
      <color theme="1"/>
      <name val="Calibri"/>
      <family val="2"/>
    </font>
    <font>
      <b/>
      <sz val="11"/>
      <color theme="1"/>
      <name val="Calibri"/>
      <family val="2"/>
    </font>
    <font>
      <sz val="12"/>
      <color theme="1"/>
      <name val="Calibri"/>
      <family val="2"/>
    </font>
    <font>
      <b/>
      <sz val="18"/>
      <color rgb="FF1C86A4"/>
      <name val="Calibri"/>
      <family val="2"/>
    </font>
    <font>
      <b/>
      <sz val="11"/>
      <color rgb="FF1C86A4"/>
      <name val="Calibri"/>
      <family val="2"/>
    </font>
    <font>
      <b/>
      <sz val="10"/>
      <color rgb="FF1C86A4"/>
      <name val="Calibri"/>
      <family val="2"/>
    </font>
    <font>
      <sz val="9"/>
      <color theme="1"/>
      <name val="Calibri"/>
      <family val="2"/>
    </font>
    <font>
      <sz val="8"/>
      <color theme="1" tint="0.499984740745262"/>
      <name val="Calibri"/>
      <family val="2"/>
    </font>
    <font>
      <b/>
      <sz val="11"/>
      <color rgb="FFFD7607"/>
      <name val="Calibri"/>
      <family val="2"/>
    </font>
    <font>
      <sz val="11"/>
      <color rgb="FFFD7607"/>
      <name val="Calibri"/>
      <family val="2"/>
    </font>
    <font>
      <sz val="11"/>
      <color rgb="FF1C86A4"/>
      <name val="Calibri"/>
      <family val="2"/>
    </font>
    <font>
      <b/>
      <sz val="11"/>
      <color rgb="FF7BB83B"/>
      <name val="Calibri"/>
      <family val="2"/>
    </font>
    <font>
      <sz val="11"/>
      <color theme="0"/>
      <name val="Calibri"/>
      <family val="2"/>
    </font>
    <font>
      <sz val="9"/>
      <color theme="0"/>
      <name val="Calibri"/>
      <family val="2"/>
    </font>
    <font>
      <b/>
      <sz val="10"/>
      <color theme="1"/>
      <name val="Calibri"/>
      <family val="2"/>
    </font>
    <font>
      <b/>
      <u/>
      <sz val="11"/>
      <color theme="1" tint="0.34998626667073579"/>
      <name val="Calibri"/>
      <family val="2"/>
    </font>
    <font>
      <sz val="11"/>
      <color theme="1" tint="0.34998626667073579"/>
      <name val="Aptos Narrow"/>
      <family val="2"/>
      <scheme val="minor"/>
    </font>
    <font>
      <sz val="9"/>
      <color rgb="FFC00000"/>
      <name val="Calibri"/>
      <family val="2"/>
    </font>
    <font>
      <sz val="11"/>
      <name val="Aptos Narrow"/>
      <family val="2"/>
      <scheme val="minor"/>
    </font>
    <font>
      <sz val="11"/>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249977111117893"/>
        <bgColor indexed="64"/>
      </patternFill>
    </fill>
  </fills>
  <borders count="19">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14999847407452621"/>
      </left>
      <right/>
      <top/>
      <bottom/>
      <diagonal/>
    </border>
  </borders>
  <cellStyleXfs count="1">
    <xf numFmtId="0" fontId="0" fillId="0" borderId="0"/>
  </cellStyleXfs>
  <cellXfs count="79">
    <xf numFmtId="0" fontId="0" fillId="0" borderId="0" xfId="0"/>
    <xf numFmtId="0" fontId="2" fillId="0" borderId="0" xfId="0" applyFont="1" applyAlignment="1">
      <alignment vertical="top" wrapText="1"/>
    </xf>
    <xf numFmtId="0" fontId="2"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5" fillId="0" borderId="0" xfId="0" applyFont="1"/>
    <xf numFmtId="0" fontId="11" fillId="0" borderId="0" xfId="0" applyFont="1" applyAlignment="1">
      <alignment vertical="center"/>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wrapText="1"/>
    </xf>
    <xf numFmtId="0" fontId="1" fillId="0" borderId="0" xfId="0" applyFont="1"/>
    <xf numFmtId="2" fontId="16" fillId="0" borderId="0" xfId="0" applyNumberFormat="1" applyFont="1" applyAlignment="1">
      <alignment vertical="top" wrapText="1"/>
    </xf>
    <xf numFmtId="164" fontId="17" fillId="0" borderId="0" xfId="0" applyNumberFormat="1" applyFont="1" applyAlignment="1">
      <alignment horizontal="center" vertical="top"/>
    </xf>
    <xf numFmtId="0" fontId="6" fillId="0" borderId="0" xfId="0" applyFont="1" applyAlignment="1">
      <alignment vertical="top" wrapText="1"/>
    </xf>
    <xf numFmtId="164" fontId="0" fillId="0" borderId="0" xfId="0" applyNumberFormat="1"/>
    <xf numFmtId="0" fontId="16" fillId="0" borderId="0" xfId="0" applyFont="1" applyAlignment="1">
      <alignment horizontal="center" vertical="top" wrapText="1"/>
    </xf>
    <xf numFmtId="2" fontId="16" fillId="0" borderId="0" xfId="0" applyNumberFormat="1" applyFont="1" applyAlignment="1">
      <alignment horizontal="center" vertical="top" wrapText="1"/>
    </xf>
    <xf numFmtId="0" fontId="20" fillId="0" borderId="0" xfId="0" applyFont="1"/>
    <xf numFmtId="164" fontId="1" fillId="0" borderId="0" xfId="0" applyNumberFormat="1" applyFont="1"/>
    <xf numFmtId="164" fontId="2" fillId="0" borderId="0" xfId="0" applyNumberFormat="1" applyFont="1" applyAlignment="1">
      <alignment vertical="top"/>
    </xf>
    <xf numFmtId="164" fontId="16" fillId="0" borderId="0" xfId="0" applyNumberFormat="1" applyFont="1" applyAlignment="1">
      <alignment vertical="top"/>
    </xf>
    <xf numFmtId="0" fontId="10" fillId="0" borderId="0" xfId="0" applyFont="1" applyAlignment="1">
      <alignment vertical="top" wrapText="1"/>
    </xf>
    <xf numFmtId="0" fontId="19" fillId="0" borderId="0" xfId="0" applyFont="1" applyAlignment="1">
      <alignment vertical="top"/>
    </xf>
    <xf numFmtId="0" fontId="18" fillId="0" borderId="0" xfId="0" applyFont="1" applyAlignment="1">
      <alignment horizontal="right" vertical="top"/>
    </xf>
    <xf numFmtId="0" fontId="10" fillId="0" borderId="0" xfId="0" applyFont="1" applyAlignment="1">
      <alignment horizontal="center" vertical="center"/>
    </xf>
    <xf numFmtId="164" fontId="10" fillId="0" borderId="0" xfId="0" applyNumberFormat="1" applyFont="1" applyAlignment="1">
      <alignment horizontal="center" vertical="top"/>
    </xf>
    <xf numFmtId="164" fontId="10" fillId="0" borderId="0" xfId="0" applyNumberFormat="1" applyFont="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1" xfId="0" applyFont="1" applyBorder="1" applyAlignment="1">
      <alignment vertical="top"/>
    </xf>
    <xf numFmtId="0" fontId="2" fillId="0" borderId="2" xfId="0" applyFont="1" applyBorder="1" applyAlignment="1">
      <alignment vertical="top" wrapText="1"/>
    </xf>
    <xf numFmtId="0" fontId="0" fillId="0" borderId="2" xfId="0" applyBorder="1"/>
    <xf numFmtId="0" fontId="10" fillId="2" borderId="3" xfId="0" applyFont="1" applyFill="1" applyBorder="1" applyAlignment="1" applyProtection="1">
      <alignment vertical="top" wrapText="1"/>
      <protection locked="0"/>
    </xf>
    <xf numFmtId="0" fontId="2" fillId="0" borderId="2" xfId="0" applyFont="1" applyBorder="1" applyAlignment="1">
      <alignment vertical="top"/>
    </xf>
    <xf numFmtId="0" fontId="2" fillId="3" borderId="0" xfId="0" applyFont="1" applyFill="1" applyAlignment="1">
      <alignment vertical="top"/>
    </xf>
    <xf numFmtId="0" fontId="16" fillId="3" borderId="0" xfId="0" applyFont="1" applyFill="1" applyAlignment="1">
      <alignment vertical="top"/>
    </xf>
    <xf numFmtId="0" fontId="11" fillId="3" borderId="0" xfId="0" applyFont="1" applyFill="1" applyAlignment="1">
      <alignment vertical="center"/>
    </xf>
    <xf numFmtId="0" fontId="21" fillId="0" borderId="4" xfId="0" applyFont="1" applyBorder="1" applyAlignment="1">
      <alignment vertical="top"/>
    </xf>
    <xf numFmtId="0" fontId="0" fillId="0" borderId="5" xfId="0" applyBorder="1"/>
    <xf numFmtId="0" fontId="0" fillId="0" borderId="6" xfId="0" applyBorder="1"/>
    <xf numFmtId="0" fontId="10" fillId="0" borderId="7" xfId="0" applyFont="1" applyBorder="1" applyAlignment="1">
      <alignment vertical="top"/>
    </xf>
    <xf numFmtId="0" fontId="0" fillId="0" borderId="8" xfId="0" applyBorder="1"/>
    <xf numFmtId="0" fontId="10" fillId="0" borderId="9" xfId="0" applyFont="1" applyBorder="1" applyAlignment="1">
      <alignment vertical="top"/>
    </xf>
    <xf numFmtId="0" fontId="0" fillId="0" borderId="10" xfId="0" applyBorder="1"/>
    <xf numFmtId="0" fontId="0" fillId="0" borderId="11" xfId="0" applyBorder="1"/>
    <xf numFmtId="0" fontId="18" fillId="0" borderId="12" xfId="0" applyFont="1" applyBorder="1" applyAlignment="1">
      <alignment horizontal="right" vertical="top"/>
    </xf>
    <xf numFmtId="0" fontId="10" fillId="4" borderId="13" xfId="0" applyFont="1"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8" fillId="0" borderId="15" xfId="0" applyFont="1" applyBorder="1" applyAlignment="1">
      <alignment horizontal="right" vertical="top"/>
    </xf>
    <xf numFmtId="164" fontId="10" fillId="4" borderId="16" xfId="0" applyNumberFormat="1" applyFont="1" applyFill="1" applyBorder="1" applyAlignment="1">
      <alignment horizontal="center" vertical="top"/>
    </xf>
    <xf numFmtId="164" fontId="10" fillId="0" borderId="16" xfId="0" applyNumberFormat="1" applyFont="1" applyBorder="1" applyAlignment="1">
      <alignment horizontal="center" vertical="top"/>
    </xf>
    <xf numFmtId="164" fontId="10" fillId="0" borderId="17" xfId="0" applyNumberFormat="1" applyFont="1" applyBorder="1" applyAlignment="1">
      <alignment horizontal="center" vertical="top"/>
    </xf>
    <xf numFmtId="164" fontId="10" fillId="0" borderId="16" xfId="0" applyNumberFormat="1" applyFont="1" applyBorder="1" applyAlignment="1">
      <alignment horizontal="center" vertical="center"/>
    </xf>
    <xf numFmtId="164" fontId="10" fillId="0" borderId="17" xfId="0" applyNumberFormat="1" applyFont="1" applyBorder="1" applyAlignment="1">
      <alignment horizontal="center" vertical="center"/>
    </xf>
    <xf numFmtId="0" fontId="10" fillId="5" borderId="13" xfId="0" applyFont="1" applyFill="1" applyBorder="1" applyAlignment="1">
      <alignment horizontal="center" vertical="center"/>
    </xf>
    <xf numFmtId="164" fontId="10" fillId="5" borderId="16" xfId="0" applyNumberFormat="1" applyFont="1" applyFill="1" applyBorder="1" applyAlignment="1">
      <alignment horizontal="center" vertical="center"/>
    </xf>
    <xf numFmtId="0" fontId="10" fillId="6" borderId="13" xfId="0" applyFont="1" applyFill="1" applyBorder="1" applyAlignment="1">
      <alignment horizontal="center" vertical="center"/>
    </xf>
    <xf numFmtId="164" fontId="10" fillId="6" borderId="16" xfId="0" applyNumberFormat="1" applyFont="1" applyFill="1" applyBorder="1" applyAlignment="1">
      <alignment horizontal="center" vertical="center"/>
    </xf>
    <xf numFmtId="0" fontId="22" fillId="0" borderId="0" xfId="0" applyFont="1"/>
    <xf numFmtId="164" fontId="22" fillId="0" borderId="0" xfId="0" applyNumberFormat="1" applyFont="1"/>
    <xf numFmtId="0" fontId="0" fillId="7" borderId="0" xfId="0" applyFill="1"/>
    <xf numFmtId="0" fontId="2" fillId="0" borderId="0" xfId="0" applyFont="1" applyAlignment="1">
      <alignment horizontal="left" vertical="top" wrapText="1"/>
    </xf>
    <xf numFmtId="0" fontId="17" fillId="8" borderId="0" xfId="0" applyFont="1" applyFill="1" applyAlignment="1">
      <alignment vertical="top"/>
    </xf>
    <xf numFmtId="0" fontId="16" fillId="8" borderId="0" xfId="0" applyFont="1" applyFill="1" applyAlignment="1">
      <alignment vertical="top" wrapText="1"/>
    </xf>
    <xf numFmtId="0" fontId="23" fillId="0" borderId="0" xfId="0" applyFont="1" applyAlignment="1">
      <alignment vertical="top"/>
    </xf>
    <xf numFmtId="164" fontId="23" fillId="0" borderId="0" xfId="0" applyNumberFormat="1" applyFont="1" applyAlignment="1">
      <alignment vertical="top"/>
    </xf>
    <xf numFmtId="0" fontId="0" fillId="0" borderId="0" xfId="0" applyAlignment="1">
      <alignment horizontal="left"/>
    </xf>
    <xf numFmtId="0" fontId="2"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horizontal="left" vertical="top" wrapText="1"/>
    </xf>
    <xf numFmtId="0" fontId="11" fillId="0" borderId="18" xfId="0" applyFont="1" applyBorder="1" applyAlignment="1">
      <alignment horizontal="left" vertical="center"/>
    </xf>
    <xf numFmtId="0" fontId="11"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000000"/>
      <color rgb="FF7BB83B"/>
      <color rgb="FFFFFF00"/>
      <color rgb="FF1C86A4"/>
      <color rgb="FFFD76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IAA!$F$13</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IAA!$G$14:$P$14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IAA!$G$15:$P$15</c:f>
              <c:numCache>
                <c:formatCode>0.0</c:formatCode>
                <c:ptCount val="10"/>
                <c:pt idx="1">
                  <c:v>25</c:v>
                </c:pt>
                <c:pt idx="2">
                  <c:v>34.25</c:v>
                </c:pt>
                <c:pt idx="3">
                  <c:v>43.5</c:v>
                </c:pt>
                <c:pt idx="4">
                  <c:v>52.75</c:v>
                </c:pt>
                <c:pt idx="5">
                  <c:v>62</c:v>
                </c:pt>
                <c:pt idx="6">
                  <c:v>71.25</c:v>
                </c:pt>
                <c:pt idx="7">
                  <c:v>80.5</c:v>
                </c:pt>
                <c:pt idx="8">
                  <c:v>89.75</c:v>
                </c:pt>
                <c:pt idx="9">
                  <c:v>99</c:v>
                </c:pt>
              </c:numCache>
            </c:numRef>
          </c:yVal>
          <c:smooth val="1"/>
          <c:extLst>
            <c:ext xmlns:c16="http://schemas.microsoft.com/office/drawing/2014/chart" uri="{C3380CC4-5D6E-409C-BE32-E72D297353CC}">
              <c16:uniqueId val="{00000000-69BA-4F92-B1BC-FB2D5D12BCBF}"/>
            </c:ext>
          </c:extLst>
        </c:ser>
        <c:ser>
          <c:idx val="1"/>
          <c:order val="1"/>
          <c:tx>
            <c:strRef>
              <c:f>IAA!$F$17</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IAA!$G$22:$P$22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IAA!$G$19:$P$19</c:f>
              <c:numCache>
                <c:formatCode>0.0</c:formatCode>
                <c:ptCount val="10"/>
                <c:pt idx="1">
                  <c:v>25</c:v>
                </c:pt>
                <c:pt idx="2">
                  <c:v>29.69285154228497</c:v>
                </c:pt>
                <c:pt idx="3">
                  <c:v>35.266617308487</c:v>
                </c:pt>
                <c:pt idx="4">
                  <c:v>41.886657285579275</c:v>
                </c:pt>
                <c:pt idx="5">
                  <c:v>49.749371855330985</c:v>
                </c:pt>
                <c:pt idx="6">
                  <c:v>59.088028512890936</c:v>
                </c:pt>
                <c:pt idx="7">
                  <c:v>70.179682342382861</c:v>
                </c:pt>
                <c:pt idx="8">
                  <c:v>83.353395563083694</c:v>
                </c:pt>
                <c:pt idx="9">
                  <c:v>99</c:v>
                </c:pt>
              </c:numCache>
            </c:numRef>
          </c:yVal>
          <c:smooth val="1"/>
          <c:extLst>
            <c:ext xmlns:c16="http://schemas.microsoft.com/office/drawing/2014/chart" uri="{C3380CC4-5D6E-409C-BE32-E72D297353CC}">
              <c16:uniqueId val="{00000001-69BA-4F92-B1BC-FB2D5D12BCBF}"/>
            </c:ext>
          </c:extLst>
        </c:ser>
        <c:ser>
          <c:idx val="2"/>
          <c:order val="2"/>
          <c:tx>
            <c:strRef>
              <c:f>IAA!$F$21</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IAA!$G$22:$P$22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IAA!$G$23:$P$23</c:f>
              <c:numCache>
                <c:formatCode>0.0</c:formatCode>
                <c:ptCount val="10"/>
                <c:pt idx="1">
                  <c:v>25</c:v>
                </c:pt>
                <c:pt idx="2">
                  <c:v>40.646604436916306</c:v>
                </c:pt>
                <c:pt idx="3">
                  <c:v>53.820317657617139</c:v>
                </c:pt>
                <c:pt idx="4">
                  <c:v>64.911971487109071</c:v>
                </c:pt>
                <c:pt idx="5">
                  <c:v>74.250628144669022</c:v>
                </c:pt>
                <c:pt idx="6">
                  <c:v>82.113342714420725</c:v>
                </c:pt>
                <c:pt idx="7">
                  <c:v>88.733382691513</c:v>
                </c:pt>
                <c:pt idx="8">
                  <c:v>94.30714845771503</c:v>
                </c:pt>
                <c:pt idx="9">
                  <c:v>99</c:v>
                </c:pt>
              </c:numCache>
            </c:numRef>
          </c:yVal>
          <c:smooth val="1"/>
          <c:extLst>
            <c:ext xmlns:c16="http://schemas.microsoft.com/office/drawing/2014/chart" uri="{C3380CC4-5D6E-409C-BE32-E72D297353CC}">
              <c16:uniqueId val="{00000002-69BA-4F92-B1BC-FB2D5D12BCBF}"/>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ICA!$F$19</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ICA!$G$20:$P$20</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ICA!$G$21:$P$21</c:f>
              <c:numCache>
                <c:formatCode>0.0</c:formatCode>
                <c:ptCount val="10"/>
                <c:pt idx="1">
                  <c:v>21</c:v>
                </c:pt>
                <c:pt idx="2">
                  <c:v>30.75</c:v>
                </c:pt>
                <c:pt idx="3">
                  <c:v>40.5</c:v>
                </c:pt>
                <c:pt idx="4">
                  <c:v>50.25</c:v>
                </c:pt>
                <c:pt idx="5">
                  <c:v>60</c:v>
                </c:pt>
                <c:pt idx="6">
                  <c:v>69.75</c:v>
                </c:pt>
                <c:pt idx="7">
                  <c:v>79.5</c:v>
                </c:pt>
                <c:pt idx="8">
                  <c:v>89.25</c:v>
                </c:pt>
                <c:pt idx="9">
                  <c:v>99</c:v>
                </c:pt>
              </c:numCache>
            </c:numRef>
          </c:yVal>
          <c:smooth val="1"/>
          <c:extLst>
            <c:ext xmlns:c16="http://schemas.microsoft.com/office/drawing/2014/chart" uri="{C3380CC4-5D6E-409C-BE32-E72D297353CC}">
              <c16:uniqueId val="{00000000-65A1-4C65-957E-AF2D14410FD6}"/>
            </c:ext>
          </c:extLst>
        </c:ser>
        <c:ser>
          <c:idx val="1"/>
          <c:order val="1"/>
          <c:tx>
            <c:strRef>
              <c:f>ICA!$F$23</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ICA!$G$28:$P$28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ICA!$G$25:$P$25</c:f>
              <c:numCache>
                <c:formatCode>0.0</c:formatCode>
                <c:ptCount val="10"/>
                <c:pt idx="1">
                  <c:v>21</c:v>
                </c:pt>
                <c:pt idx="2">
                  <c:v>25.491552283417757</c:v>
                </c:pt>
                <c:pt idx="3">
                  <c:v>30.943773229439099</c:v>
                </c:pt>
                <c:pt idx="4">
                  <c:v>37.562133958308074</c:v>
                </c:pt>
                <c:pt idx="5">
                  <c:v>45.596052460711988</c:v>
                </c:pt>
                <c:pt idx="6">
                  <c:v>55.348293105699931</c:v>
                </c:pt>
                <c:pt idx="7">
                  <c:v>67.186376547708591</c:v>
                </c:pt>
                <c:pt idx="8">
                  <c:v>81.556430023776485</c:v>
                </c:pt>
                <c:pt idx="9">
                  <c:v>99</c:v>
                </c:pt>
              </c:numCache>
            </c:numRef>
          </c:yVal>
          <c:smooth val="1"/>
          <c:extLst>
            <c:ext xmlns:c16="http://schemas.microsoft.com/office/drawing/2014/chart" uri="{C3380CC4-5D6E-409C-BE32-E72D297353CC}">
              <c16:uniqueId val="{00000001-65A1-4C65-957E-AF2D14410FD6}"/>
            </c:ext>
          </c:extLst>
        </c:ser>
        <c:ser>
          <c:idx val="2"/>
          <c:order val="2"/>
          <c:tx>
            <c:strRef>
              <c:f>ICA!$F$27</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ICA!$G$28:$P$28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ICA!$G$29:$P$29</c:f>
              <c:numCache>
                <c:formatCode>0.0</c:formatCode>
                <c:ptCount val="10"/>
                <c:pt idx="1">
                  <c:v>21</c:v>
                </c:pt>
                <c:pt idx="2">
                  <c:v>38.443569976223515</c:v>
                </c:pt>
                <c:pt idx="3">
                  <c:v>52.813623452291409</c:v>
                </c:pt>
                <c:pt idx="4">
                  <c:v>64.651706894300077</c:v>
                </c:pt>
                <c:pt idx="5">
                  <c:v>74.403947539288026</c:v>
                </c:pt>
                <c:pt idx="6">
                  <c:v>82.437866041691933</c:v>
                </c:pt>
                <c:pt idx="7">
                  <c:v>89.056226770560912</c:v>
                </c:pt>
                <c:pt idx="8">
                  <c:v>94.508447716582253</c:v>
                </c:pt>
                <c:pt idx="9">
                  <c:v>99</c:v>
                </c:pt>
              </c:numCache>
            </c:numRef>
          </c:yVal>
          <c:smooth val="1"/>
          <c:extLst>
            <c:ext xmlns:c16="http://schemas.microsoft.com/office/drawing/2014/chart" uri="{C3380CC4-5D6E-409C-BE32-E72D297353CC}">
              <c16:uniqueId val="{00000002-65A1-4C65-957E-AF2D14410FD6}"/>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IAE!$F$13</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IAE!$G$14:$P$14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IAE!$G$15:$P$15</c:f>
              <c:numCache>
                <c:formatCode>0.0</c:formatCode>
                <c:ptCount val="10"/>
                <c:pt idx="1">
                  <c:v>20</c:v>
                </c:pt>
                <c:pt idx="2">
                  <c:v>28.75</c:v>
                </c:pt>
                <c:pt idx="3">
                  <c:v>37.5</c:v>
                </c:pt>
                <c:pt idx="4">
                  <c:v>46.25</c:v>
                </c:pt>
                <c:pt idx="5">
                  <c:v>55</c:v>
                </c:pt>
                <c:pt idx="6">
                  <c:v>63.75</c:v>
                </c:pt>
                <c:pt idx="7">
                  <c:v>72.5</c:v>
                </c:pt>
                <c:pt idx="8">
                  <c:v>81.25</c:v>
                </c:pt>
                <c:pt idx="9">
                  <c:v>90</c:v>
                </c:pt>
              </c:numCache>
            </c:numRef>
          </c:yVal>
          <c:smooth val="1"/>
          <c:extLst>
            <c:ext xmlns:c16="http://schemas.microsoft.com/office/drawing/2014/chart" uri="{C3380CC4-5D6E-409C-BE32-E72D297353CC}">
              <c16:uniqueId val="{00000000-1286-4BBB-AD81-D1C65D337E92}"/>
            </c:ext>
          </c:extLst>
        </c:ser>
        <c:ser>
          <c:idx val="1"/>
          <c:order val="1"/>
          <c:tx>
            <c:strRef>
              <c:f>IAE!$F$17</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IAE!$G$22:$P$22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IAE!$G$19:$P$19</c:f>
              <c:numCache>
                <c:formatCode>0.0</c:formatCode>
                <c:ptCount val="10"/>
                <c:pt idx="1">
                  <c:v>20</c:v>
                </c:pt>
                <c:pt idx="2">
                  <c:v>24.136903820680651</c:v>
                </c:pt>
                <c:pt idx="3">
                  <c:v>29.12950630243941</c:v>
                </c:pt>
                <c:pt idx="4">
                  <c:v>35.15480459829454</c:v>
                </c:pt>
                <c:pt idx="5">
                  <c:v>42.426406871192867</c:v>
                </c:pt>
                <c:pt idx="6">
                  <c:v>51.202105105352345</c:v>
                </c:pt>
                <c:pt idx="7">
                  <c:v>61.793014317213562</c:v>
                </c:pt>
                <c:pt idx="8">
                  <c:v>74.574602168226306</c:v>
                </c:pt>
                <c:pt idx="9">
                  <c:v>90</c:v>
                </c:pt>
              </c:numCache>
            </c:numRef>
          </c:yVal>
          <c:smooth val="1"/>
          <c:extLst>
            <c:ext xmlns:c16="http://schemas.microsoft.com/office/drawing/2014/chart" uri="{C3380CC4-5D6E-409C-BE32-E72D297353CC}">
              <c16:uniqueId val="{00000001-1286-4BBB-AD81-D1C65D337E92}"/>
            </c:ext>
          </c:extLst>
        </c:ser>
        <c:ser>
          <c:idx val="2"/>
          <c:order val="2"/>
          <c:tx>
            <c:strRef>
              <c:f>IAE!$F$21</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IAE!$G$22:$P$22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IAE!$G$23:$P$23</c:f>
              <c:numCache>
                <c:formatCode>0.0</c:formatCode>
                <c:ptCount val="10"/>
                <c:pt idx="1">
                  <c:v>20</c:v>
                </c:pt>
                <c:pt idx="2">
                  <c:v>35.425397831773694</c:v>
                </c:pt>
                <c:pt idx="3">
                  <c:v>48.206985682786438</c:v>
                </c:pt>
                <c:pt idx="4">
                  <c:v>58.797894894647655</c:v>
                </c:pt>
                <c:pt idx="5">
                  <c:v>67.573593128807133</c:v>
                </c:pt>
                <c:pt idx="6">
                  <c:v>74.845195401705467</c:v>
                </c:pt>
                <c:pt idx="7">
                  <c:v>80.87049369756059</c:v>
                </c:pt>
                <c:pt idx="8">
                  <c:v>85.863096179319342</c:v>
                </c:pt>
                <c:pt idx="9">
                  <c:v>90</c:v>
                </c:pt>
              </c:numCache>
            </c:numRef>
          </c:yVal>
          <c:smooth val="1"/>
          <c:extLst>
            <c:ext xmlns:c16="http://schemas.microsoft.com/office/drawing/2014/chart" uri="{C3380CC4-5D6E-409C-BE32-E72D297353CC}">
              <c16:uniqueId val="{00000002-1286-4BBB-AD81-D1C65D337E92}"/>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ICE!$F$19</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ICE!$G$20:$P$20</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ICE!$G$21:$P$21</c:f>
              <c:numCache>
                <c:formatCode>0.0</c:formatCode>
                <c:ptCount val="10"/>
                <c:pt idx="1">
                  <c:v>21</c:v>
                </c:pt>
                <c:pt idx="2">
                  <c:v>29.625</c:v>
                </c:pt>
                <c:pt idx="3">
                  <c:v>38.25</c:v>
                </c:pt>
                <c:pt idx="4">
                  <c:v>46.875</c:v>
                </c:pt>
                <c:pt idx="5">
                  <c:v>55.5</c:v>
                </c:pt>
                <c:pt idx="6">
                  <c:v>64.125</c:v>
                </c:pt>
                <c:pt idx="7">
                  <c:v>72.75</c:v>
                </c:pt>
                <c:pt idx="8">
                  <c:v>81.375</c:v>
                </c:pt>
                <c:pt idx="9">
                  <c:v>90</c:v>
                </c:pt>
              </c:numCache>
            </c:numRef>
          </c:yVal>
          <c:smooth val="1"/>
          <c:extLst>
            <c:ext xmlns:c16="http://schemas.microsoft.com/office/drawing/2014/chart" uri="{C3380CC4-5D6E-409C-BE32-E72D297353CC}">
              <c16:uniqueId val="{00000000-9D53-4B5C-973A-0AF9C3EBE848}"/>
            </c:ext>
          </c:extLst>
        </c:ser>
        <c:ser>
          <c:idx val="1"/>
          <c:order val="1"/>
          <c:tx>
            <c:strRef>
              <c:f>ICE!$F$23</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ICE!$G$28:$P$28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ICE!$G$25:$P$25</c:f>
              <c:numCache>
                <c:formatCode>0.0</c:formatCode>
                <c:ptCount val="10"/>
                <c:pt idx="1">
                  <c:v>21</c:v>
                </c:pt>
                <c:pt idx="2">
                  <c:v>25.189653676022324</c:v>
                </c:pt>
                <c:pt idx="3">
                  <c:v>30.215173919902139</c:v>
                </c:pt>
                <c:pt idx="4">
                  <c:v>36.243322228719848</c:v>
                </c:pt>
                <c:pt idx="5">
                  <c:v>43.474130238568307</c:v>
                </c:pt>
                <c:pt idx="6">
                  <c:v>52.147537360753589</c:v>
                </c:pt>
                <c:pt idx="7">
                  <c:v>62.551352674991335</c:v>
                </c:pt>
                <c:pt idx="8">
                  <c:v>75.030805278560209</c:v>
                </c:pt>
                <c:pt idx="9">
                  <c:v>90</c:v>
                </c:pt>
              </c:numCache>
            </c:numRef>
          </c:yVal>
          <c:smooth val="1"/>
          <c:extLst>
            <c:ext xmlns:c16="http://schemas.microsoft.com/office/drawing/2014/chart" uri="{C3380CC4-5D6E-409C-BE32-E72D297353CC}">
              <c16:uniqueId val="{00000001-9D53-4B5C-973A-0AF9C3EBE848}"/>
            </c:ext>
          </c:extLst>
        </c:ser>
        <c:ser>
          <c:idx val="2"/>
          <c:order val="2"/>
          <c:tx>
            <c:strRef>
              <c:f>ICE!$F$27</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ICE!$G$28:$P$28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ICE!$G$29:$P$29</c:f>
              <c:numCache>
                <c:formatCode>0.0</c:formatCode>
                <c:ptCount val="10"/>
                <c:pt idx="1">
                  <c:v>21</c:v>
                </c:pt>
                <c:pt idx="2">
                  <c:v>35.969194721439791</c:v>
                </c:pt>
                <c:pt idx="3">
                  <c:v>48.448647325008665</c:v>
                </c:pt>
                <c:pt idx="4">
                  <c:v>58.852462639246411</c:v>
                </c:pt>
                <c:pt idx="5">
                  <c:v>67.525869761431693</c:v>
                </c:pt>
                <c:pt idx="6">
                  <c:v>74.756677771280152</c:v>
                </c:pt>
                <c:pt idx="7">
                  <c:v>80.784826080097858</c:v>
                </c:pt>
                <c:pt idx="8">
                  <c:v>85.810346323977669</c:v>
                </c:pt>
                <c:pt idx="9">
                  <c:v>90</c:v>
                </c:pt>
              </c:numCache>
            </c:numRef>
          </c:yVal>
          <c:smooth val="1"/>
          <c:extLst>
            <c:ext xmlns:c16="http://schemas.microsoft.com/office/drawing/2014/chart" uri="{C3380CC4-5D6E-409C-BE32-E72D297353CC}">
              <c16:uniqueId val="{00000002-9D53-4B5C-973A-0AF9C3EBE848}"/>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'I-01'!$F$18</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'I-01'!$G$19:$P$19</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'I-01'!$G$20:$P$20</c:f>
              <c:numCache>
                <c:formatCode>0.0</c:formatCode>
                <c:ptCount val="10"/>
                <c:pt idx="1">
                  <c:v>908.78717006348143</c:v>
                </c:pt>
                <c:pt idx="2">
                  <c:v>822.18877380554625</c:v>
                </c:pt>
                <c:pt idx="3">
                  <c:v>735.59037754761107</c:v>
                </c:pt>
                <c:pt idx="4">
                  <c:v>648.99198128967589</c:v>
                </c:pt>
                <c:pt idx="5">
                  <c:v>562.39358503174071</c:v>
                </c:pt>
                <c:pt idx="6">
                  <c:v>475.79518877380553</c:v>
                </c:pt>
                <c:pt idx="7">
                  <c:v>389.19679251587036</c:v>
                </c:pt>
                <c:pt idx="8">
                  <c:v>302.59839625793518</c:v>
                </c:pt>
                <c:pt idx="9">
                  <c:v>216</c:v>
                </c:pt>
              </c:numCache>
            </c:numRef>
          </c:yVal>
          <c:smooth val="1"/>
          <c:extLst>
            <c:ext xmlns:c16="http://schemas.microsoft.com/office/drawing/2014/chart" uri="{C3380CC4-5D6E-409C-BE32-E72D297353CC}">
              <c16:uniqueId val="{00000000-85B2-44D5-A00F-73174C4EF234}"/>
            </c:ext>
          </c:extLst>
        </c:ser>
        <c:ser>
          <c:idx val="1"/>
          <c:order val="1"/>
          <c:tx>
            <c:strRef>
              <c:f>'I-01'!$F$22</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'I-01'!$G$27:$P$27</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'I-01'!$G$24:$P$24</c:f>
              <c:numCache>
                <c:formatCode>0.0</c:formatCode>
                <c:ptCount val="10"/>
                <c:pt idx="1">
                  <c:v>908.78717006348143</c:v>
                </c:pt>
                <c:pt idx="2">
                  <c:v>759.38345838249063</c:v>
                </c:pt>
                <c:pt idx="3">
                  <c:v>634.54156909441201</c:v>
                </c:pt>
                <c:pt idx="4">
                  <c:v>530.22356289724837</c:v>
                </c:pt>
                <c:pt idx="5">
                  <c:v>443.05533371545363</c:v>
                </c:pt>
                <c:pt idx="6">
                  <c:v>370.21747517424541</c:v>
                </c:pt>
                <c:pt idx="7">
                  <c:v>309.35408851757234</c:v>
                </c:pt>
                <c:pt idx="8">
                  <c:v>258.4965824141504</c:v>
                </c:pt>
                <c:pt idx="9">
                  <c:v>216</c:v>
                </c:pt>
              </c:numCache>
            </c:numRef>
          </c:yVal>
          <c:smooth val="1"/>
          <c:extLst>
            <c:ext xmlns:c16="http://schemas.microsoft.com/office/drawing/2014/chart" uri="{C3380CC4-5D6E-409C-BE32-E72D297353CC}">
              <c16:uniqueId val="{00000001-85B2-44D5-A00F-73174C4EF234}"/>
            </c:ext>
          </c:extLst>
        </c:ser>
        <c:ser>
          <c:idx val="2"/>
          <c:order val="2"/>
          <c:tx>
            <c:strRef>
              <c:f>'I-01'!$F$26</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'I-01'!$G$27:$P$27</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'I-01'!$G$28:$P$28</c:f>
              <c:numCache>
                <c:formatCode>0.0</c:formatCode>
                <c:ptCount val="10"/>
                <c:pt idx="1">
                  <c:v>908.78717006348143</c:v>
                </c:pt>
                <c:pt idx="2">
                  <c:v>857.92966396005954</c:v>
                </c:pt>
                <c:pt idx="3">
                  <c:v>797.06627730338641</c:v>
                </c:pt>
                <c:pt idx="4">
                  <c:v>724.22841876217819</c:v>
                </c:pt>
                <c:pt idx="5">
                  <c:v>637.06018958038339</c:v>
                </c:pt>
                <c:pt idx="6">
                  <c:v>532.74218338321975</c:v>
                </c:pt>
                <c:pt idx="7">
                  <c:v>407.90029409514113</c:v>
                </c:pt>
                <c:pt idx="8">
                  <c:v>258.49658241415034</c:v>
                </c:pt>
                <c:pt idx="9">
                  <c:v>216</c:v>
                </c:pt>
              </c:numCache>
            </c:numRef>
          </c:yVal>
          <c:smooth val="1"/>
          <c:extLst>
            <c:ext xmlns:c16="http://schemas.microsoft.com/office/drawing/2014/chart" uri="{C3380CC4-5D6E-409C-BE32-E72D297353CC}">
              <c16:uniqueId val="{00000002-85B2-44D5-A00F-73174C4EF234}"/>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'I-02'!$F$17</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'I-02'!$G$18:$P$18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'I-02'!$G$19:$P$19</c:f>
              <c:numCache>
                <c:formatCode>0.0</c:formatCode>
                <c:ptCount val="10"/>
                <c:pt idx="1">
                  <c:v>20</c:v>
                </c:pt>
                <c:pt idx="2">
                  <c:v>29.75</c:v>
                </c:pt>
                <c:pt idx="3">
                  <c:v>39.5</c:v>
                </c:pt>
                <c:pt idx="4">
                  <c:v>49.25</c:v>
                </c:pt>
                <c:pt idx="5">
                  <c:v>59</c:v>
                </c:pt>
                <c:pt idx="6">
                  <c:v>68.75</c:v>
                </c:pt>
                <c:pt idx="7">
                  <c:v>78.5</c:v>
                </c:pt>
                <c:pt idx="8">
                  <c:v>88.25</c:v>
                </c:pt>
                <c:pt idx="9">
                  <c:v>98</c:v>
                </c:pt>
              </c:numCache>
            </c:numRef>
          </c:yVal>
          <c:smooth val="1"/>
          <c:extLst>
            <c:ext xmlns:c16="http://schemas.microsoft.com/office/drawing/2014/chart" uri="{C3380CC4-5D6E-409C-BE32-E72D297353CC}">
              <c16:uniqueId val="{00000000-1648-4B90-B521-C4BBD57C0346}"/>
            </c:ext>
          </c:extLst>
        </c:ser>
        <c:ser>
          <c:idx val="1"/>
          <c:order val="1"/>
          <c:tx>
            <c:strRef>
              <c:f>'I-02'!$F$21</c:f>
              <c:strCache>
                <c:ptCount val="1"/>
                <c:pt idx="0">
                  <c:v>Proposição de metas com fim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'I-02'!$G$26:$P$26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'I-02'!$G$23:$P$23</c:f>
              <c:numCache>
                <c:formatCode>0.0</c:formatCode>
                <c:ptCount val="10"/>
                <c:pt idx="1">
                  <c:v>20</c:v>
                </c:pt>
                <c:pt idx="2">
                  <c:v>24.395206893061314</c:v>
                </c:pt>
                <c:pt idx="3">
                  <c:v>29.756305967763307</c:v>
                </c:pt>
                <c:pt idx="4">
                  <c:v>36.295562022841047</c:v>
                </c:pt>
                <c:pt idx="5">
                  <c:v>44.271887242357309</c:v>
                </c:pt>
                <c:pt idx="6">
                  <c:v>54.001092441179416</c:v>
                </c:pt>
                <c:pt idx="7">
                  <c:v>65.868391127695048</c:v>
                </c:pt>
                <c:pt idx="8">
                  <c:v>80.343651463660251</c:v>
                </c:pt>
                <c:pt idx="9">
                  <c:v>98</c:v>
                </c:pt>
              </c:numCache>
            </c:numRef>
          </c:yVal>
          <c:smooth val="1"/>
          <c:extLst>
            <c:ext xmlns:c16="http://schemas.microsoft.com/office/drawing/2014/chart" uri="{C3380CC4-5D6E-409C-BE32-E72D297353CC}">
              <c16:uniqueId val="{00000001-1648-4B90-B521-C4BBD57C0346}"/>
            </c:ext>
          </c:extLst>
        </c:ser>
        <c:ser>
          <c:idx val="2"/>
          <c:order val="2"/>
          <c:tx>
            <c:strRef>
              <c:f>'I-02'!$F$25</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'I-02'!$G$26:$P$26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'I-02'!$G$27:$P$27</c:f>
              <c:numCache>
                <c:formatCode>0.0</c:formatCode>
                <c:ptCount val="10"/>
                <c:pt idx="1">
                  <c:v>20</c:v>
                </c:pt>
                <c:pt idx="2">
                  <c:v>37.656348536339749</c:v>
                </c:pt>
                <c:pt idx="3">
                  <c:v>52.131608872304952</c:v>
                </c:pt>
                <c:pt idx="4">
                  <c:v>63.998907558820584</c:v>
                </c:pt>
                <c:pt idx="5">
                  <c:v>73.728112757642691</c:v>
                </c:pt>
                <c:pt idx="6">
                  <c:v>81.70443797715896</c:v>
                </c:pt>
                <c:pt idx="7">
                  <c:v>88.243694032236704</c:v>
                </c:pt>
                <c:pt idx="8">
                  <c:v>93.6047931069387</c:v>
                </c:pt>
                <c:pt idx="9">
                  <c:v>98</c:v>
                </c:pt>
              </c:numCache>
            </c:numRef>
          </c:yVal>
          <c:smooth val="1"/>
          <c:extLst>
            <c:ext xmlns:c16="http://schemas.microsoft.com/office/drawing/2014/chart" uri="{C3380CC4-5D6E-409C-BE32-E72D297353CC}">
              <c16:uniqueId val="{00000002-1648-4B90-B521-C4BBD57C0346}"/>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'I-03'!$F$17</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'I-03'!$G$18:$P$18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'I-03'!$G$19:$P$19</c:f>
              <c:numCache>
                <c:formatCode>0.0</c:formatCode>
                <c:ptCount val="10"/>
                <c:pt idx="1">
                  <c:v>20</c:v>
                </c:pt>
                <c:pt idx="2">
                  <c:v>29</c:v>
                </c:pt>
                <c:pt idx="3">
                  <c:v>38</c:v>
                </c:pt>
                <c:pt idx="4">
                  <c:v>47</c:v>
                </c:pt>
                <c:pt idx="5">
                  <c:v>56</c:v>
                </c:pt>
                <c:pt idx="6">
                  <c:v>65</c:v>
                </c:pt>
                <c:pt idx="7">
                  <c:v>74</c:v>
                </c:pt>
                <c:pt idx="8">
                  <c:v>83</c:v>
                </c:pt>
                <c:pt idx="9">
                  <c:v>92</c:v>
                </c:pt>
              </c:numCache>
            </c:numRef>
          </c:yVal>
          <c:smooth val="1"/>
          <c:extLst>
            <c:ext xmlns:c16="http://schemas.microsoft.com/office/drawing/2014/chart" uri="{C3380CC4-5D6E-409C-BE32-E72D297353CC}">
              <c16:uniqueId val="{00000000-3F2A-4376-A811-472A24489CD1}"/>
            </c:ext>
          </c:extLst>
        </c:ser>
        <c:ser>
          <c:idx val="1"/>
          <c:order val="1"/>
          <c:tx>
            <c:strRef>
              <c:f>'I-03'!$F$21</c:f>
              <c:strCache>
                <c:ptCount val="1"/>
                <c:pt idx="0">
                  <c:v>Proposição de metas com fim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'I-03'!$G$26:$P$26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'I-03'!$G$23:$P$23</c:f>
              <c:numCache>
                <c:formatCode>0.0</c:formatCode>
                <c:ptCount val="10"/>
                <c:pt idx="1">
                  <c:v>20</c:v>
                </c:pt>
                <c:pt idx="2">
                  <c:v>24.203307841593183</c:v>
                </c:pt>
                <c:pt idx="3">
                  <c:v>29.290005523746302</c:v>
                </c:pt>
                <c:pt idx="4">
                  <c:v>35.445751018659827</c:v>
                </c:pt>
                <c:pt idx="5">
                  <c:v>42.895221179054445</c:v>
                </c:pt>
                <c:pt idx="6">
                  <c:v>51.910312156494115</c:v>
                </c:pt>
                <c:pt idx="7">
                  <c:v>62.820063263841206</c:v>
                </c:pt>
                <c:pt idx="8">
                  <c:v>76.022666490155387</c:v>
                </c:pt>
                <c:pt idx="9">
                  <c:v>92</c:v>
                </c:pt>
              </c:numCache>
            </c:numRef>
          </c:yVal>
          <c:smooth val="1"/>
          <c:extLst>
            <c:ext xmlns:c16="http://schemas.microsoft.com/office/drawing/2014/chart" uri="{C3380CC4-5D6E-409C-BE32-E72D297353CC}">
              <c16:uniqueId val="{00000001-3F2A-4376-A811-472A24489CD1}"/>
            </c:ext>
          </c:extLst>
        </c:ser>
        <c:ser>
          <c:idx val="2"/>
          <c:order val="2"/>
          <c:tx>
            <c:strRef>
              <c:f>'I-03'!$F$25</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'I-03'!$G$26:$P$26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'I-03'!$G$27:$P$27</c:f>
              <c:numCache>
                <c:formatCode>0.0</c:formatCode>
                <c:ptCount val="10"/>
                <c:pt idx="1">
                  <c:v>20</c:v>
                </c:pt>
                <c:pt idx="2">
                  <c:v>35.977333509844613</c:v>
                </c:pt>
                <c:pt idx="3">
                  <c:v>49.179936736158794</c:v>
                </c:pt>
                <c:pt idx="4">
                  <c:v>60.089687843505885</c:v>
                </c:pt>
                <c:pt idx="5">
                  <c:v>69.104778820945555</c:v>
                </c:pt>
                <c:pt idx="6">
                  <c:v>76.55424898134018</c:v>
                </c:pt>
                <c:pt idx="7">
                  <c:v>82.709994476253712</c:v>
                </c:pt>
                <c:pt idx="8">
                  <c:v>87.796692158406827</c:v>
                </c:pt>
                <c:pt idx="9">
                  <c:v>92</c:v>
                </c:pt>
              </c:numCache>
            </c:numRef>
          </c:yVal>
          <c:smooth val="1"/>
          <c:extLst>
            <c:ext xmlns:c16="http://schemas.microsoft.com/office/drawing/2014/chart" uri="{C3380CC4-5D6E-409C-BE32-E72D297353CC}">
              <c16:uniqueId val="{00000002-3F2A-4376-A811-472A24489CD1}"/>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'I-04'!$F$15</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'I-04'!$G$16:$P$16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'I-04'!$G$17:$P$17</c:f>
              <c:numCache>
                <c:formatCode>0.0</c:formatCode>
                <c:ptCount val="10"/>
                <c:pt idx="1">
                  <c:v>100</c:v>
                </c:pt>
                <c:pt idx="2">
                  <c:v>90</c:v>
                </c:pt>
                <c:pt idx="3">
                  <c:v>80</c:v>
                </c:pt>
                <c:pt idx="4">
                  <c:v>70</c:v>
                </c:pt>
                <c:pt idx="5">
                  <c:v>60</c:v>
                </c:pt>
                <c:pt idx="6">
                  <c:v>50</c:v>
                </c:pt>
                <c:pt idx="7">
                  <c:v>40</c:v>
                </c:pt>
                <c:pt idx="8">
                  <c:v>30</c:v>
                </c:pt>
                <c:pt idx="9">
                  <c:v>20</c:v>
                </c:pt>
              </c:numCache>
            </c:numRef>
          </c:yVal>
          <c:smooth val="1"/>
          <c:extLst>
            <c:ext xmlns:c16="http://schemas.microsoft.com/office/drawing/2014/chart" uri="{C3380CC4-5D6E-409C-BE32-E72D297353CC}">
              <c16:uniqueId val="{00000000-4087-4944-B8DF-997CBBDBE30F}"/>
            </c:ext>
          </c:extLst>
        </c:ser>
        <c:ser>
          <c:idx val="1"/>
          <c:order val="1"/>
          <c:tx>
            <c:strRef>
              <c:f>'I-04'!$F$19</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'I-04'!$G$24:$P$24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'I-04'!$G$21:$P$21</c:f>
              <c:numCache>
                <c:formatCode>0.0</c:formatCode>
                <c:ptCount val="10"/>
                <c:pt idx="1">
                  <c:v>100</c:v>
                </c:pt>
                <c:pt idx="2">
                  <c:v>81.776543395794249</c:v>
                </c:pt>
                <c:pt idx="3">
                  <c:v>66.87403049764221</c:v>
                </c:pt>
                <c:pt idx="4">
                  <c:v>54.687270570421063</c:v>
                </c:pt>
                <c:pt idx="5">
                  <c:v>44.721359549995803</c:v>
                </c:pt>
                <c:pt idx="6">
                  <c:v>36.571581999591494</c:v>
                </c:pt>
                <c:pt idx="7">
                  <c:v>29.906975624424419</c:v>
                </c:pt>
                <c:pt idx="8">
                  <c:v>24.456890899877045</c:v>
                </c:pt>
                <c:pt idx="9">
                  <c:v>20</c:v>
                </c:pt>
              </c:numCache>
            </c:numRef>
          </c:yVal>
          <c:smooth val="1"/>
          <c:extLst>
            <c:ext xmlns:c16="http://schemas.microsoft.com/office/drawing/2014/chart" uri="{C3380CC4-5D6E-409C-BE32-E72D297353CC}">
              <c16:uniqueId val="{00000001-4087-4944-B8DF-997CBBDBE30F}"/>
            </c:ext>
          </c:extLst>
        </c:ser>
        <c:ser>
          <c:idx val="2"/>
          <c:order val="2"/>
          <c:tx>
            <c:strRef>
              <c:f>'I-04'!$F$23</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'I-04'!$G$24:$P$24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'I-04'!$G$25:$P$25</c:f>
              <c:numCache>
                <c:formatCode>0.0</c:formatCode>
                <c:ptCount val="10"/>
                <c:pt idx="1">
                  <c:v>100</c:v>
                </c:pt>
                <c:pt idx="2">
                  <c:v>94.549915275452634</c:v>
                </c:pt>
                <c:pt idx="3">
                  <c:v>87.885308900285565</c:v>
                </c:pt>
                <c:pt idx="4">
                  <c:v>79.735531349881256</c:v>
                </c:pt>
                <c:pt idx="5">
                  <c:v>69.769620329455989</c:v>
                </c:pt>
                <c:pt idx="6">
                  <c:v>57.582860402234843</c:v>
                </c:pt>
                <c:pt idx="7">
                  <c:v>42.680347504082803</c:v>
                </c:pt>
                <c:pt idx="8">
                  <c:v>24.456890899877052</c:v>
                </c:pt>
                <c:pt idx="9">
                  <c:v>20</c:v>
                </c:pt>
              </c:numCache>
            </c:numRef>
          </c:yVal>
          <c:smooth val="1"/>
          <c:extLst>
            <c:ext xmlns:c16="http://schemas.microsoft.com/office/drawing/2014/chart" uri="{C3380CC4-5D6E-409C-BE32-E72D297353CC}">
              <c16:uniqueId val="{00000002-4087-4944-B8DF-997CBBDBE30F}"/>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'I-05'!$F$14</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'I-05'!$G$15:$P$15</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'I-05'!$G$16:$P$16</c:f>
              <c:numCache>
                <c:formatCode>0.0</c:formatCode>
                <c:ptCount val="10"/>
                <c:pt idx="1">
                  <c:v>1.6363636363636365</c:v>
                </c:pt>
                <c:pt idx="2">
                  <c:v>1.4818181818181819</c:v>
                </c:pt>
                <c:pt idx="3">
                  <c:v>1.3272727272727274</c:v>
                </c:pt>
                <c:pt idx="4">
                  <c:v>1.1727272727272728</c:v>
                </c:pt>
                <c:pt idx="5">
                  <c:v>1.0181818181818183</c:v>
                </c:pt>
                <c:pt idx="6">
                  <c:v>0.86363636363636376</c:v>
                </c:pt>
                <c:pt idx="7">
                  <c:v>0.70909090909090922</c:v>
                </c:pt>
                <c:pt idx="8">
                  <c:v>0.55454545454545467</c:v>
                </c:pt>
                <c:pt idx="9">
                  <c:v>0.4</c:v>
                </c:pt>
              </c:numCache>
            </c:numRef>
          </c:yVal>
          <c:smooth val="1"/>
          <c:extLst>
            <c:ext xmlns:c16="http://schemas.microsoft.com/office/drawing/2014/chart" uri="{C3380CC4-5D6E-409C-BE32-E72D297353CC}">
              <c16:uniqueId val="{00000000-501A-40EE-B621-9EF0C556E31D}"/>
            </c:ext>
          </c:extLst>
        </c:ser>
        <c:ser>
          <c:idx val="1"/>
          <c:order val="1"/>
          <c:tx>
            <c:strRef>
              <c:f>'I-05'!$F$18</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'I-05'!$G$23:$P$23</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'I-05'!$G$20:$P$20</c:f>
              <c:numCache>
                <c:formatCode>0.0</c:formatCode>
                <c:ptCount val="10"/>
                <c:pt idx="1">
                  <c:v>1.6363636363636365</c:v>
                </c:pt>
                <c:pt idx="2">
                  <c:v>1.3721523740995121</c:v>
                </c:pt>
                <c:pt idx="3">
                  <c:v>1.1506013064009</c:v>
                </c:pt>
                <c:pt idx="4">
                  <c:v>0.96482241424555237</c:v>
                </c:pt>
                <c:pt idx="5">
                  <c:v>0.80903983495589071</c:v>
                </c:pt>
                <c:pt idx="6">
                  <c:v>0.67841029072410175</c:v>
                </c:pt>
                <c:pt idx="7">
                  <c:v>0.56887251118537663</c:v>
                </c:pt>
                <c:pt idx="8">
                  <c:v>0.47702096858959014</c:v>
                </c:pt>
                <c:pt idx="9">
                  <c:v>0.4</c:v>
                </c:pt>
              </c:numCache>
            </c:numRef>
          </c:yVal>
          <c:smooth val="1"/>
          <c:extLst>
            <c:ext xmlns:c16="http://schemas.microsoft.com/office/drawing/2014/chart" uri="{C3380CC4-5D6E-409C-BE32-E72D297353CC}">
              <c16:uniqueId val="{00000001-501A-40EE-B621-9EF0C556E31D}"/>
            </c:ext>
          </c:extLst>
        </c:ser>
        <c:ser>
          <c:idx val="2"/>
          <c:order val="2"/>
          <c:tx>
            <c:strRef>
              <c:f>'I-05'!$F$22</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'I-05'!$G$23:$P$23</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'I-05'!$G$24:$P$24</c:f>
              <c:numCache>
                <c:formatCode>0.0</c:formatCode>
                <c:ptCount val="10"/>
                <c:pt idx="1">
                  <c:v>1.6363636363636365</c:v>
                </c:pt>
                <c:pt idx="2">
                  <c:v>1.54451209376785</c:v>
                </c:pt>
                <c:pt idx="3">
                  <c:v>1.4349743142291249</c:v>
                </c:pt>
                <c:pt idx="4">
                  <c:v>1.3043447699973361</c:v>
                </c:pt>
                <c:pt idx="5">
                  <c:v>1.1485621907076744</c:v>
                </c:pt>
                <c:pt idx="6">
                  <c:v>0.96278329855232681</c:v>
                </c:pt>
                <c:pt idx="7">
                  <c:v>0.7412322308537147</c:v>
                </c:pt>
                <c:pt idx="8">
                  <c:v>0.47702096858959031</c:v>
                </c:pt>
                <c:pt idx="9">
                  <c:v>0.4</c:v>
                </c:pt>
              </c:numCache>
            </c:numRef>
          </c:yVal>
          <c:smooth val="1"/>
          <c:extLst>
            <c:ext xmlns:c16="http://schemas.microsoft.com/office/drawing/2014/chart" uri="{C3380CC4-5D6E-409C-BE32-E72D297353CC}">
              <c16:uniqueId val="{00000002-501A-40EE-B621-9EF0C556E31D}"/>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04'!A1"/><Relationship Id="rId3" Type="http://schemas.openxmlformats.org/officeDocument/2006/relationships/hyperlink" Target="#IAE!A1"/><Relationship Id="rId7" Type="http://schemas.openxmlformats.org/officeDocument/2006/relationships/hyperlink" Target="#'I-03'!A1"/><Relationship Id="rId2" Type="http://schemas.openxmlformats.org/officeDocument/2006/relationships/hyperlink" Target="#ICA!A1"/><Relationship Id="rId1" Type="http://schemas.openxmlformats.org/officeDocument/2006/relationships/hyperlink" Target="#IAA!A1"/><Relationship Id="rId6" Type="http://schemas.openxmlformats.org/officeDocument/2006/relationships/hyperlink" Target="#'I-02'!A1"/><Relationship Id="rId11" Type="http://schemas.openxmlformats.org/officeDocument/2006/relationships/image" Target="../media/image1.png"/><Relationship Id="rId5" Type="http://schemas.openxmlformats.org/officeDocument/2006/relationships/hyperlink" Target="#'I-01'!A1"/><Relationship Id="rId10" Type="http://schemas.openxmlformats.org/officeDocument/2006/relationships/hyperlink" Target="#Fichas!A1"/><Relationship Id="rId4" Type="http://schemas.openxmlformats.org/officeDocument/2006/relationships/hyperlink" Target="#ICE!A1"/><Relationship Id="rId9" Type="http://schemas.openxmlformats.org/officeDocument/2006/relationships/hyperlink" Target="#'I-05'!A1"/></Relationships>
</file>

<file path=xl/drawings/_rels/drawing10.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05'!A1"/><Relationship Id="rId12" Type="http://schemas.openxmlformats.org/officeDocument/2006/relationships/hyperlink" Target="#'I-04'!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9.xml"/><Relationship Id="rId9" Type="http://schemas.openxmlformats.org/officeDocument/2006/relationships/hyperlink" Target="#'I-01'!A1"/><Relationship Id="rId1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3" Type="http://schemas.openxmlformats.org/officeDocument/2006/relationships/hyperlink" Target="https://www.in.gov.br/web/dou/-/resolucao-ana-n-192-de-8-maio-de-2024-559091485" TargetMode="External"/><Relationship Id="rId18" Type="http://schemas.openxmlformats.org/officeDocument/2006/relationships/image" Target="../media/image7.png"/><Relationship Id="rId26" Type="http://schemas.openxmlformats.org/officeDocument/2006/relationships/image" Target="../media/image15.png"/><Relationship Id="rId21" Type="http://schemas.openxmlformats.org/officeDocument/2006/relationships/image" Target="../media/image10.png"/><Relationship Id="rId34" Type="http://schemas.openxmlformats.org/officeDocument/2006/relationships/image" Target="../media/image23.png"/><Relationship Id="rId7" Type="http://schemas.openxmlformats.org/officeDocument/2006/relationships/hyperlink" Target="#ICE!A1"/><Relationship Id="rId12" Type="http://schemas.openxmlformats.org/officeDocument/2006/relationships/hyperlink" Target="#'I-05'!A1"/><Relationship Id="rId17" Type="http://schemas.openxmlformats.org/officeDocument/2006/relationships/image" Target="../media/image6.png"/><Relationship Id="rId25" Type="http://schemas.openxmlformats.org/officeDocument/2006/relationships/image" Target="../media/image14.png"/><Relationship Id="rId33" Type="http://schemas.openxmlformats.org/officeDocument/2006/relationships/image" Target="../media/image22.png"/><Relationship Id="rId2" Type="http://schemas.openxmlformats.org/officeDocument/2006/relationships/image" Target="../media/image2.png"/><Relationship Id="rId16" Type="http://schemas.openxmlformats.org/officeDocument/2006/relationships/image" Target="../media/image5.png"/><Relationship Id="rId20" Type="http://schemas.openxmlformats.org/officeDocument/2006/relationships/image" Target="../media/image9.png"/><Relationship Id="rId29" Type="http://schemas.openxmlformats.org/officeDocument/2006/relationships/image" Target="../media/image18.png"/><Relationship Id="rId1" Type="http://schemas.openxmlformats.org/officeDocument/2006/relationships/hyperlink" Target="#Introdu&#231;&#227;o!A1"/><Relationship Id="rId6" Type="http://schemas.openxmlformats.org/officeDocument/2006/relationships/hyperlink" Target="#IAE!A1"/><Relationship Id="rId11" Type="http://schemas.openxmlformats.org/officeDocument/2006/relationships/hyperlink" Target="#'I-04'!A1"/><Relationship Id="rId24" Type="http://schemas.openxmlformats.org/officeDocument/2006/relationships/image" Target="../media/image13.png"/><Relationship Id="rId32" Type="http://schemas.openxmlformats.org/officeDocument/2006/relationships/image" Target="../media/image21.png"/><Relationship Id="rId37" Type="http://schemas.openxmlformats.org/officeDocument/2006/relationships/hyperlink" Target="https://orcispar.com.br/uploads/pagina/arquivos/Resolucao-CRFS-03-2026-Solucoes-Alternativas-_(510).pdf" TargetMode="External"/><Relationship Id="rId5" Type="http://schemas.openxmlformats.org/officeDocument/2006/relationships/hyperlink" Target="#ICA!A1"/><Relationship Id="rId15" Type="http://schemas.openxmlformats.org/officeDocument/2006/relationships/image" Target="../media/image4.png"/><Relationship Id="rId23" Type="http://schemas.openxmlformats.org/officeDocument/2006/relationships/image" Target="../media/image12.png"/><Relationship Id="rId28" Type="http://schemas.openxmlformats.org/officeDocument/2006/relationships/image" Target="../media/image17.png"/><Relationship Id="rId36" Type="http://schemas.openxmlformats.org/officeDocument/2006/relationships/hyperlink" Target="https://orcispar.com.br/uploads/pagina/arquivos/Resolucao-CRFS-02-2026-Indicadores-de-universalizacao-e-indicadores-operacionais-_(826).pdf" TargetMode="External"/><Relationship Id="rId10" Type="http://schemas.openxmlformats.org/officeDocument/2006/relationships/hyperlink" Target="#'I-03'!A1"/><Relationship Id="rId19" Type="http://schemas.openxmlformats.org/officeDocument/2006/relationships/image" Target="../media/image8.png"/><Relationship Id="rId31" Type="http://schemas.openxmlformats.org/officeDocument/2006/relationships/image" Target="../media/image20.png"/><Relationship Id="rId4" Type="http://schemas.openxmlformats.org/officeDocument/2006/relationships/hyperlink" Target="#IAA!A1"/><Relationship Id="rId9" Type="http://schemas.openxmlformats.org/officeDocument/2006/relationships/hyperlink" Target="#'I-02'!A1"/><Relationship Id="rId14" Type="http://schemas.openxmlformats.org/officeDocument/2006/relationships/hyperlink" Target="https://www.in.gov.br/web/dou/-/resolucao-ana-n-211-de-19-de-setembro-de-2024-585941965" TargetMode="External"/><Relationship Id="rId22" Type="http://schemas.openxmlformats.org/officeDocument/2006/relationships/image" Target="../media/image11.png"/><Relationship Id="rId27" Type="http://schemas.openxmlformats.org/officeDocument/2006/relationships/image" Target="../media/image16.png"/><Relationship Id="rId30" Type="http://schemas.openxmlformats.org/officeDocument/2006/relationships/image" Target="../media/image19.png"/><Relationship Id="rId35" Type="http://schemas.openxmlformats.org/officeDocument/2006/relationships/image" Target="../media/image1.png"/><Relationship Id="rId8" Type="http://schemas.openxmlformats.org/officeDocument/2006/relationships/hyperlink" Target="#'I-01'!A1"/><Relationship Id="rId3" Type="http://schemas.openxmlformats.org/officeDocument/2006/relationships/image" Target="../media/image3.svg"/></Relationships>
</file>

<file path=xl/drawings/_rels/drawing2.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1.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AE!A1"/><Relationship Id="rId1" Type="http://schemas.openxmlformats.org/officeDocument/2006/relationships/hyperlink" Target="#IC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2.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AE!A1"/><Relationship Id="rId1" Type="http://schemas.openxmlformats.org/officeDocument/2006/relationships/hyperlink" Target="#IA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3.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CA!A1"/><Relationship Id="rId1" Type="http://schemas.openxmlformats.org/officeDocument/2006/relationships/hyperlink" Target="#IA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I-05'!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4'!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5" Type="http://schemas.openxmlformats.org/officeDocument/2006/relationships/image" Target="../media/image1.png"/><Relationship Id="rId10" Type="http://schemas.openxmlformats.org/officeDocument/2006/relationships/hyperlink" Target="#'I-02'!A1"/><Relationship Id="rId4" Type="http://schemas.openxmlformats.org/officeDocument/2006/relationships/chart" Target="../charts/chart4.xml"/><Relationship Id="rId9" Type="http://schemas.openxmlformats.org/officeDocument/2006/relationships/hyperlink" Target="#'I-01'!A1"/><Relationship Id="rId14" Type="http://schemas.openxmlformats.org/officeDocument/2006/relationships/hyperlink" Target="#Fichas!A1"/></Relationships>
</file>

<file path=xl/drawings/_rels/drawing6.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3'!A1"/><Relationship Id="rId4" Type="http://schemas.openxmlformats.org/officeDocument/2006/relationships/chart" Target="../charts/chart5.xml"/><Relationship Id="rId9" Type="http://schemas.openxmlformats.org/officeDocument/2006/relationships/hyperlink" Target="#'I-02'!A1"/><Relationship Id="rId14"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3'!A1"/><Relationship Id="rId4" Type="http://schemas.openxmlformats.org/officeDocument/2006/relationships/chart" Target="../charts/chart6.xml"/><Relationship Id="rId9" Type="http://schemas.openxmlformats.org/officeDocument/2006/relationships/hyperlink" Target="#'I-01'!A1"/><Relationship Id="rId14"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7.xml"/><Relationship Id="rId9" Type="http://schemas.openxmlformats.org/officeDocument/2006/relationships/hyperlink" Target="#'I-01'!A1"/><Relationship Id="rId14"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8.xml"/><Relationship Id="rId9" Type="http://schemas.openxmlformats.org/officeDocument/2006/relationships/hyperlink" Target="#'I-01'!A1"/><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4" name="Retângulo 3">
          <a:hlinkClick xmlns:r="http://schemas.openxmlformats.org/officeDocument/2006/relationships" r:id="rId1"/>
          <a:extLst>
            <a:ext uri="{FF2B5EF4-FFF2-40B4-BE49-F238E27FC236}">
              <a16:creationId xmlns:a16="http://schemas.microsoft.com/office/drawing/2014/main" id="{AC0208BB-DE4F-343F-0D08-8FEDCCB8E9C7}"/>
            </a:ext>
          </a:extLst>
        </xdr:cNvPr>
        <xdr:cNvSpPr/>
      </xdr:nvSpPr>
      <xdr:spPr>
        <a:xfrm>
          <a:off x="114300" y="1247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1BABEBB2-5357-4BFD-98E7-EBE074F19C94}"/>
            </a:ext>
          </a:extLst>
        </xdr:cNvPr>
        <xdr:cNvSpPr/>
      </xdr:nvSpPr>
      <xdr:spPr>
        <a:xfrm>
          <a:off x="114300" y="15049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39BD5E58-EDA4-4466-A46D-43353A0AD8F4}"/>
            </a:ext>
          </a:extLst>
        </xdr:cNvPr>
        <xdr:cNvSpPr/>
      </xdr:nvSpPr>
      <xdr:spPr>
        <a:xfrm>
          <a:off x="114300" y="17526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0DD52437-802A-4DC9-985F-2A389A538748}"/>
            </a:ext>
          </a:extLst>
        </xdr:cNvPr>
        <xdr:cNvSpPr/>
      </xdr:nvSpPr>
      <xdr:spPr>
        <a:xfrm>
          <a:off x="114300" y="2009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DCDB5EE9-B57D-4DA9-8FE5-5BF63D94B881}"/>
            </a:ext>
          </a:extLst>
        </xdr:cNvPr>
        <xdr:cNvSpPr/>
      </xdr:nvSpPr>
      <xdr:spPr>
        <a:xfrm>
          <a:off x="114300" y="22669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2556041A-0F43-48E6-82FF-EB57F8485DFE}"/>
            </a:ext>
          </a:extLst>
        </xdr:cNvPr>
        <xdr:cNvSpPr/>
      </xdr:nvSpPr>
      <xdr:spPr>
        <a:xfrm>
          <a:off x="114300" y="252412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10" name="Retângulo 9">
          <a:hlinkClick xmlns:r="http://schemas.openxmlformats.org/officeDocument/2006/relationships" r:id="rId7"/>
          <a:extLst>
            <a:ext uri="{FF2B5EF4-FFF2-40B4-BE49-F238E27FC236}">
              <a16:creationId xmlns:a16="http://schemas.microsoft.com/office/drawing/2014/main" id="{E18661B9-C358-492E-A5BE-DABC443929C6}"/>
            </a:ext>
          </a:extLst>
        </xdr:cNvPr>
        <xdr:cNvSpPr/>
      </xdr:nvSpPr>
      <xdr:spPr>
        <a:xfrm>
          <a:off x="114300" y="27813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id="{EBD537FB-6A06-40CE-8E08-B6CCA2F2121E}"/>
            </a:ext>
          </a:extLst>
        </xdr:cNvPr>
        <xdr:cNvSpPr/>
      </xdr:nvSpPr>
      <xdr:spPr>
        <a:xfrm>
          <a:off x="114300" y="30384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id="{34FF6061-1102-4B6A-B63C-849E351FC571}"/>
            </a:ext>
          </a:extLst>
        </xdr:cNvPr>
        <xdr:cNvSpPr/>
      </xdr:nvSpPr>
      <xdr:spPr>
        <a:xfrm>
          <a:off x="114300" y="32956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id="{8073FA70-92F2-488A-A926-A35D8299FBD7}"/>
            </a:ext>
          </a:extLst>
        </xdr:cNvPr>
        <xdr:cNvSpPr/>
      </xdr:nvSpPr>
      <xdr:spPr>
        <a:xfrm>
          <a:off x="114300" y="3533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38100</xdr:colOff>
      <xdr:row>1</xdr:row>
      <xdr:rowOff>28575</xdr:rowOff>
    </xdr:from>
    <xdr:to>
      <xdr:col>4</xdr:col>
      <xdr:colOff>301344</xdr:colOff>
      <xdr:row>6</xdr:row>
      <xdr:rowOff>133350</xdr:rowOff>
    </xdr:to>
    <xdr:pic>
      <xdr:nvPicPr>
        <xdr:cNvPr id="11" name="Imagem 10">
          <a:extLst>
            <a:ext uri="{FF2B5EF4-FFF2-40B4-BE49-F238E27FC236}">
              <a16:creationId xmlns:a16="http://schemas.microsoft.com/office/drawing/2014/main" id="{4A71C3B7-A43D-4632-58EA-DF20C7716AB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8365" b="34296"/>
        <a:stretch/>
      </xdr:blipFill>
      <xdr:spPr>
        <a:xfrm>
          <a:off x="152400" y="133350"/>
          <a:ext cx="2092044" cy="1104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12</xdr:row>
      <xdr:rowOff>123825</xdr:rowOff>
    </xdr:from>
    <xdr:to>
      <xdr:col>20</xdr:col>
      <xdr:colOff>600074</xdr:colOff>
      <xdr:row>25</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7</xdr:row>
      <xdr:rowOff>9525</xdr:rowOff>
    </xdr:from>
    <xdr:to>
      <xdr:col>4</xdr:col>
      <xdr:colOff>110729</xdr:colOff>
      <xdr:row>8</xdr:row>
      <xdr:rowOff>7541</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85725" y="121920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85725</xdr:colOff>
      <xdr:row>8</xdr:row>
      <xdr:rowOff>74216</xdr:rowOff>
    </xdr:from>
    <xdr:to>
      <xdr:col>4</xdr:col>
      <xdr:colOff>110729</xdr:colOff>
      <xdr:row>9</xdr:row>
      <xdr:rowOff>72231</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85725" y="14743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85725</xdr:colOff>
      <xdr:row>9</xdr:row>
      <xdr:rowOff>129381</xdr:rowOff>
    </xdr:from>
    <xdr:to>
      <xdr:col>4</xdr:col>
      <xdr:colOff>110729</xdr:colOff>
      <xdr:row>10</xdr:row>
      <xdr:rowOff>127397</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85725" y="1720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85725</xdr:colOff>
      <xdr:row>11</xdr:row>
      <xdr:rowOff>1587</xdr:rowOff>
    </xdr:from>
    <xdr:to>
      <xdr:col>4</xdr:col>
      <xdr:colOff>110729</xdr:colOff>
      <xdr:row>11</xdr:row>
      <xdr:rowOff>180181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85725" y="197326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85725</xdr:colOff>
      <xdr:row>12</xdr:row>
      <xdr:rowOff>56356</xdr:rowOff>
    </xdr:from>
    <xdr:to>
      <xdr:col>4</xdr:col>
      <xdr:colOff>110729</xdr:colOff>
      <xdr:row>13</xdr:row>
      <xdr:rowOff>63897</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85725" y="221853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85725</xdr:colOff>
      <xdr:row>13</xdr:row>
      <xdr:rowOff>130572</xdr:rowOff>
    </xdr:from>
    <xdr:to>
      <xdr:col>4</xdr:col>
      <xdr:colOff>110729</xdr:colOff>
      <xdr:row>14</xdr:row>
      <xdr:rowOff>128587</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85725" y="2473722"/>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85725</xdr:colOff>
      <xdr:row>15</xdr:row>
      <xdr:rowOff>2778</xdr:rowOff>
    </xdr:from>
    <xdr:to>
      <xdr:col>4</xdr:col>
      <xdr:colOff>110729</xdr:colOff>
      <xdr:row>16</xdr:row>
      <xdr:rowOff>794</xdr:rowOff>
    </xdr:to>
    <xdr:sp macro="" textlink="">
      <xdr:nvSpPr>
        <xdr:cNvPr id="23" name="Retângulo 2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85725" y="272692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85725</xdr:colOff>
      <xdr:row>16</xdr:row>
      <xdr:rowOff>67469</xdr:rowOff>
    </xdr:from>
    <xdr:to>
      <xdr:col>4</xdr:col>
      <xdr:colOff>110729</xdr:colOff>
      <xdr:row>17</xdr:row>
      <xdr:rowOff>65484</xdr:rowOff>
    </xdr:to>
    <xdr:sp macro="" textlink="">
      <xdr:nvSpPr>
        <xdr:cNvPr id="24" name="Retângulo 23">
          <a:hlinkClick xmlns:r="http://schemas.openxmlformats.org/officeDocument/2006/relationships" r:id="rId12"/>
          <a:extLst>
            <a:ext uri="{FF2B5EF4-FFF2-40B4-BE49-F238E27FC236}">
              <a16:creationId xmlns:a16="http://schemas.microsoft.com/office/drawing/2014/main" id="{6D52809E-8AE3-4111-A9B7-8377AA8398FF}"/>
            </a:ext>
          </a:extLst>
        </xdr:cNvPr>
        <xdr:cNvSpPr/>
      </xdr:nvSpPr>
      <xdr:spPr>
        <a:xfrm>
          <a:off x="85725" y="298211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85725</xdr:colOff>
      <xdr:row>17</xdr:row>
      <xdr:rowOff>132159</xdr:rowOff>
    </xdr:from>
    <xdr:to>
      <xdr:col>4</xdr:col>
      <xdr:colOff>110729</xdr:colOff>
      <xdr:row>18</xdr:row>
      <xdr:rowOff>130175</xdr:rowOff>
    </xdr:to>
    <xdr:sp macro="" textlink="">
      <xdr:nvSpPr>
        <xdr:cNvPr id="25" name="Retângulo 24">
          <a:extLst>
            <a:ext uri="{FF2B5EF4-FFF2-40B4-BE49-F238E27FC236}">
              <a16:creationId xmlns:a16="http://schemas.microsoft.com/office/drawing/2014/main" id="{B13D480F-2B0D-4FA9-BDF6-98DBE245591E}"/>
            </a:ext>
          </a:extLst>
        </xdr:cNvPr>
        <xdr:cNvSpPr/>
      </xdr:nvSpPr>
      <xdr:spPr>
        <a:xfrm>
          <a:off x="85725" y="3237309"/>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85725</xdr:colOff>
      <xdr:row>18</xdr:row>
      <xdr:rowOff>175816</xdr:rowOff>
    </xdr:from>
    <xdr:to>
      <xdr:col>4</xdr:col>
      <xdr:colOff>110729</xdr:colOff>
      <xdr:row>19</xdr:row>
      <xdr:rowOff>173831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85725" y="34714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9525</xdr:rowOff>
    </xdr:from>
    <xdr:to>
      <xdr:col>4</xdr:col>
      <xdr:colOff>310869</xdr:colOff>
      <xdr:row>7</xdr:row>
      <xdr:rowOff>0</xdr:rowOff>
    </xdr:to>
    <xdr:pic>
      <xdr:nvPicPr>
        <xdr:cNvPr id="2" name="Imagem 1">
          <a:extLst>
            <a:ext uri="{FF2B5EF4-FFF2-40B4-BE49-F238E27FC236}">
              <a16:creationId xmlns:a16="http://schemas.microsoft.com/office/drawing/2014/main" id="{E0FAFEB6-18CC-45F4-AEE8-E3239A28EEC2}"/>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61925" y="114300"/>
          <a:ext cx="2092044" cy="1104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xdr:col>
      <xdr:colOff>0</xdr:colOff>
      <xdr:row>7</xdr:row>
      <xdr:rowOff>19050</xdr:rowOff>
    </xdr:from>
    <xdr:to>
      <xdr:col>4</xdr:col>
      <xdr:colOff>158354</xdr:colOff>
      <xdr:row>8</xdr:row>
      <xdr:rowOff>17066</xdr:rowOff>
    </xdr:to>
    <xdr:sp macro="" textlink="">
      <xdr:nvSpPr>
        <xdr:cNvPr id="17" name="Retângulo 16">
          <a:hlinkClick xmlns:r="http://schemas.openxmlformats.org/officeDocument/2006/relationships" r:id="rId4"/>
          <a:extLst>
            <a:ext uri="{FF2B5EF4-FFF2-40B4-BE49-F238E27FC236}">
              <a16:creationId xmlns:a16="http://schemas.microsoft.com/office/drawing/2014/main" id="{1D967CD5-0975-45C4-A95A-CD7F43467AE1}"/>
            </a:ext>
          </a:extLst>
        </xdr:cNvPr>
        <xdr:cNvSpPr/>
      </xdr:nvSpPr>
      <xdr:spPr>
        <a:xfrm>
          <a:off x="133350" y="122872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83741</xdr:rowOff>
    </xdr:from>
    <xdr:to>
      <xdr:col>4</xdr:col>
      <xdr:colOff>158354</xdr:colOff>
      <xdr:row>9</xdr:row>
      <xdr:rowOff>81756</xdr:rowOff>
    </xdr:to>
    <xdr:sp macro="" textlink="">
      <xdr:nvSpPr>
        <xdr:cNvPr id="18" name="Retângulo 17">
          <a:hlinkClick xmlns:r="http://schemas.openxmlformats.org/officeDocument/2006/relationships" r:id="rId5"/>
          <a:extLst>
            <a:ext uri="{FF2B5EF4-FFF2-40B4-BE49-F238E27FC236}">
              <a16:creationId xmlns:a16="http://schemas.microsoft.com/office/drawing/2014/main" id="{555F1FD1-D3BF-4EE5-8D73-8F3EB02937E6}"/>
            </a:ext>
          </a:extLst>
        </xdr:cNvPr>
        <xdr:cNvSpPr/>
      </xdr:nvSpPr>
      <xdr:spPr>
        <a:xfrm>
          <a:off x="133350" y="14839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138906</xdr:rowOff>
    </xdr:from>
    <xdr:to>
      <xdr:col>4</xdr:col>
      <xdr:colOff>158354</xdr:colOff>
      <xdr:row>10</xdr:row>
      <xdr:rowOff>136922</xdr:rowOff>
    </xdr:to>
    <xdr:sp macro="" textlink="">
      <xdr:nvSpPr>
        <xdr:cNvPr id="19" name="Retângulo 18">
          <a:hlinkClick xmlns:r="http://schemas.openxmlformats.org/officeDocument/2006/relationships" r:id="rId6"/>
          <a:extLst>
            <a:ext uri="{FF2B5EF4-FFF2-40B4-BE49-F238E27FC236}">
              <a16:creationId xmlns:a16="http://schemas.microsoft.com/office/drawing/2014/main" id="{ABDCD61D-EB2A-43E1-96D8-4204E3958FB2}"/>
            </a:ext>
          </a:extLst>
        </xdr:cNvPr>
        <xdr:cNvSpPr/>
      </xdr:nvSpPr>
      <xdr:spPr>
        <a:xfrm>
          <a:off x="133350" y="1729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11112</xdr:rowOff>
    </xdr:from>
    <xdr:to>
      <xdr:col>4</xdr:col>
      <xdr:colOff>158354</xdr:colOff>
      <xdr:row>11</xdr:row>
      <xdr:rowOff>189706</xdr:rowOff>
    </xdr:to>
    <xdr:sp macro="" textlink="">
      <xdr:nvSpPr>
        <xdr:cNvPr id="20" name="Retângulo 19">
          <a:hlinkClick xmlns:r="http://schemas.openxmlformats.org/officeDocument/2006/relationships" r:id="rId7"/>
          <a:extLst>
            <a:ext uri="{FF2B5EF4-FFF2-40B4-BE49-F238E27FC236}">
              <a16:creationId xmlns:a16="http://schemas.microsoft.com/office/drawing/2014/main" id="{87BE637E-55BC-45B0-85F4-435BE65AAC2B}"/>
            </a:ext>
          </a:extLst>
        </xdr:cNvPr>
        <xdr:cNvSpPr/>
      </xdr:nvSpPr>
      <xdr:spPr>
        <a:xfrm>
          <a:off x="133350" y="198278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65881</xdr:rowOff>
    </xdr:from>
    <xdr:to>
      <xdr:col>4</xdr:col>
      <xdr:colOff>158354</xdr:colOff>
      <xdr:row>13</xdr:row>
      <xdr:rowOff>73422</xdr:rowOff>
    </xdr:to>
    <xdr:sp macro="" textlink="">
      <xdr:nvSpPr>
        <xdr:cNvPr id="21" name="Retângulo 20">
          <a:hlinkClick xmlns:r="http://schemas.openxmlformats.org/officeDocument/2006/relationships" r:id="rId8"/>
          <a:extLst>
            <a:ext uri="{FF2B5EF4-FFF2-40B4-BE49-F238E27FC236}">
              <a16:creationId xmlns:a16="http://schemas.microsoft.com/office/drawing/2014/main" id="{2D19ABEF-9A00-48C5-947B-E7A67EF756A0}"/>
            </a:ext>
          </a:extLst>
        </xdr:cNvPr>
        <xdr:cNvSpPr/>
      </xdr:nvSpPr>
      <xdr:spPr>
        <a:xfrm>
          <a:off x="133350" y="2228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140097</xdr:rowOff>
    </xdr:from>
    <xdr:to>
      <xdr:col>4</xdr:col>
      <xdr:colOff>158354</xdr:colOff>
      <xdr:row>14</xdr:row>
      <xdr:rowOff>138112</xdr:rowOff>
    </xdr:to>
    <xdr:sp macro="" textlink="">
      <xdr:nvSpPr>
        <xdr:cNvPr id="22" name="Retângulo 21">
          <a:hlinkClick xmlns:r="http://schemas.openxmlformats.org/officeDocument/2006/relationships" r:id="rId9"/>
          <a:extLst>
            <a:ext uri="{FF2B5EF4-FFF2-40B4-BE49-F238E27FC236}">
              <a16:creationId xmlns:a16="http://schemas.microsoft.com/office/drawing/2014/main" id="{2D9D962D-61C8-476D-A4F1-EDC8E1739D74}"/>
            </a:ext>
          </a:extLst>
        </xdr:cNvPr>
        <xdr:cNvSpPr/>
      </xdr:nvSpPr>
      <xdr:spPr>
        <a:xfrm>
          <a:off x="133350" y="248324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12303</xdr:rowOff>
    </xdr:from>
    <xdr:to>
      <xdr:col>4</xdr:col>
      <xdr:colOff>158354</xdr:colOff>
      <xdr:row>16</xdr:row>
      <xdr:rowOff>10319</xdr:rowOff>
    </xdr:to>
    <xdr:sp macro="" textlink="">
      <xdr:nvSpPr>
        <xdr:cNvPr id="23" name="Retângulo 2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33350" y="2736453"/>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76994</xdr:rowOff>
    </xdr:from>
    <xdr:to>
      <xdr:col>4</xdr:col>
      <xdr:colOff>158354</xdr:colOff>
      <xdr:row>17</xdr:row>
      <xdr:rowOff>75009</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33350" y="299164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141684</xdr:rowOff>
    </xdr:from>
    <xdr:to>
      <xdr:col>4</xdr:col>
      <xdr:colOff>158354</xdr:colOff>
      <xdr:row>18</xdr:row>
      <xdr:rowOff>139700</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33350" y="324683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18</xdr:row>
      <xdr:rowOff>185341</xdr:rowOff>
    </xdr:from>
    <xdr:to>
      <xdr:col>4</xdr:col>
      <xdr:colOff>158354</xdr:colOff>
      <xdr:row>19</xdr:row>
      <xdr:rowOff>183356</xdr:rowOff>
    </xdr:to>
    <xdr:sp macro="" textlink="">
      <xdr:nvSpPr>
        <xdr:cNvPr id="26" name="Retângulo 25">
          <a:extLst>
            <a:ext uri="{FF2B5EF4-FFF2-40B4-BE49-F238E27FC236}">
              <a16:creationId xmlns:a16="http://schemas.microsoft.com/office/drawing/2014/main" id="{34C98627-0295-4848-8728-8B4DCEEC78FE}"/>
            </a:ext>
          </a:extLst>
        </xdr:cNvPr>
        <xdr:cNvSpPr/>
      </xdr:nvSpPr>
      <xdr:spPr>
        <a:xfrm>
          <a:off x="133350" y="3480991"/>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5</xdr:col>
      <xdr:colOff>28575</xdr:colOff>
      <xdr:row>1</xdr:row>
      <xdr:rowOff>95249</xdr:rowOff>
    </xdr:from>
    <xdr:to>
      <xdr:col>7</xdr:col>
      <xdr:colOff>485775</xdr:colOff>
      <xdr:row>4</xdr:row>
      <xdr:rowOff>104774</xdr:rowOff>
    </xdr:to>
    <xdr:sp macro="" textlink="">
      <xdr:nvSpPr>
        <xdr:cNvPr id="27" name="Retângulo Arredondado 26">
          <a:hlinkClick xmlns:r="http://schemas.openxmlformats.org/officeDocument/2006/relationships" r:id="rId13"/>
          <a:extLst>
            <a:ext uri="{FF2B5EF4-FFF2-40B4-BE49-F238E27FC236}">
              <a16:creationId xmlns:a16="http://schemas.microsoft.com/office/drawing/2014/main" id="{00000000-0008-0000-0A00-00001B000000}"/>
            </a:ext>
          </a:extLst>
        </xdr:cNvPr>
        <xdr:cNvSpPr/>
      </xdr:nvSpPr>
      <xdr:spPr>
        <a:xfrm>
          <a:off x="2905125" y="200024"/>
          <a:ext cx="194310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NR n° 08/2024 da ANA na íntegra</a:t>
          </a:r>
        </a:p>
      </xdr:txBody>
    </xdr:sp>
    <xdr:clientData/>
  </xdr:twoCellAnchor>
  <xdr:twoCellAnchor>
    <xdr:from>
      <xdr:col>7</xdr:col>
      <xdr:colOff>638175</xdr:colOff>
      <xdr:row>1</xdr:row>
      <xdr:rowOff>95249</xdr:rowOff>
    </xdr:from>
    <xdr:to>
      <xdr:col>10</xdr:col>
      <xdr:colOff>523875</xdr:colOff>
      <xdr:row>4</xdr:row>
      <xdr:rowOff>104774</xdr:rowOff>
    </xdr:to>
    <xdr:sp macro="" textlink="">
      <xdr:nvSpPr>
        <xdr:cNvPr id="28" name="Retângulo Arredondado 27">
          <a:hlinkClick xmlns:r="http://schemas.openxmlformats.org/officeDocument/2006/relationships" r:id="rId14"/>
          <a:extLst>
            <a:ext uri="{FF2B5EF4-FFF2-40B4-BE49-F238E27FC236}">
              <a16:creationId xmlns:a16="http://schemas.microsoft.com/office/drawing/2014/main" id="{00000000-0008-0000-0A00-00001C000000}"/>
            </a:ext>
          </a:extLst>
        </xdr:cNvPr>
        <xdr:cNvSpPr/>
      </xdr:nvSpPr>
      <xdr:spPr>
        <a:xfrm>
          <a:off x="5000625" y="200024"/>
          <a:ext cx="194310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NR n° 09/2024 da ANA na íntegra</a:t>
          </a:r>
        </a:p>
      </xdr:txBody>
    </xdr:sp>
    <xdr:clientData/>
  </xdr:twoCellAnchor>
  <xdr:twoCellAnchor editAs="oneCell">
    <xdr:from>
      <xdr:col>4</xdr:col>
      <xdr:colOff>628650</xdr:colOff>
      <xdr:row>8</xdr:row>
      <xdr:rowOff>76200</xdr:rowOff>
    </xdr:from>
    <xdr:to>
      <xdr:col>11</xdr:col>
      <xdr:colOff>393750</xdr:colOff>
      <xdr:row>38</xdr:row>
      <xdr:rowOff>6005</xdr:rowOff>
    </xdr:to>
    <xdr:pic>
      <xdr:nvPicPr>
        <xdr:cNvPr id="30" name="Imagem 29">
          <a:extLst>
            <a:ext uri="{FF2B5EF4-FFF2-40B4-BE49-F238E27FC236}">
              <a16:creationId xmlns:a16="http://schemas.microsoft.com/office/drawing/2014/main" id="{E61CFC22-E077-B984-C1F6-70C7D3796161}"/>
            </a:ext>
          </a:extLst>
        </xdr:cNvPr>
        <xdr:cNvPicPr>
          <a:picLocks noChangeAspect="1"/>
        </xdr:cNvPicPr>
      </xdr:nvPicPr>
      <xdr:blipFill>
        <a:blip xmlns:r="http://schemas.openxmlformats.org/officeDocument/2006/relationships" r:embed="rId15"/>
        <a:stretch>
          <a:fillRect/>
        </a:stretch>
      </xdr:blipFill>
      <xdr:spPr>
        <a:xfrm>
          <a:off x="2819400" y="1476375"/>
          <a:ext cx="4680000" cy="5520980"/>
        </a:xfrm>
        <a:prstGeom prst="rect">
          <a:avLst/>
        </a:prstGeom>
      </xdr:spPr>
    </xdr:pic>
    <xdr:clientData/>
  </xdr:twoCellAnchor>
  <xdr:twoCellAnchor editAs="oneCell">
    <xdr:from>
      <xdr:col>4</xdr:col>
      <xdr:colOff>666750</xdr:colOff>
      <xdr:row>37</xdr:row>
      <xdr:rowOff>66676</xdr:rowOff>
    </xdr:from>
    <xdr:to>
      <xdr:col>11</xdr:col>
      <xdr:colOff>377850</xdr:colOff>
      <xdr:row>75</xdr:row>
      <xdr:rowOff>142346</xdr:rowOff>
    </xdr:to>
    <xdr:pic>
      <xdr:nvPicPr>
        <xdr:cNvPr id="31" name="Imagem 30">
          <a:extLst>
            <a:ext uri="{FF2B5EF4-FFF2-40B4-BE49-F238E27FC236}">
              <a16:creationId xmlns:a16="http://schemas.microsoft.com/office/drawing/2014/main" id="{316BADA3-2745-9CC3-8B5E-3FED984D3ABE}"/>
            </a:ext>
          </a:extLst>
        </xdr:cNvPr>
        <xdr:cNvPicPr>
          <a:picLocks noChangeAspect="1"/>
        </xdr:cNvPicPr>
      </xdr:nvPicPr>
      <xdr:blipFill>
        <a:blip xmlns:r="http://schemas.openxmlformats.org/officeDocument/2006/relationships" r:embed="rId16"/>
        <a:stretch>
          <a:fillRect/>
        </a:stretch>
      </xdr:blipFill>
      <xdr:spPr>
        <a:xfrm>
          <a:off x="2857500" y="6877051"/>
          <a:ext cx="4626000" cy="6952720"/>
        </a:xfrm>
        <a:prstGeom prst="rect">
          <a:avLst/>
        </a:prstGeom>
      </xdr:spPr>
    </xdr:pic>
    <xdr:clientData/>
  </xdr:twoCellAnchor>
  <xdr:twoCellAnchor editAs="oneCell">
    <xdr:from>
      <xdr:col>4</xdr:col>
      <xdr:colOff>657225</xdr:colOff>
      <xdr:row>75</xdr:row>
      <xdr:rowOff>152400</xdr:rowOff>
    </xdr:from>
    <xdr:to>
      <xdr:col>11</xdr:col>
      <xdr:colOff>386325</xdr:colOff>
      <xdr:row>97</xdr:row>
      <xdr:rowOff>129590</xdr:rowOff>
    </xdr:to>
    <xdr:pic>
      <xdr:nvPicPr>
        <xdr:cNvPr id="32" name="Imagem 31">
          <a:extLst>
            <a:ext uri="{FF2B5EF4-FFF2-40B4-BE49-F238E27FC236}">
              <a16:creationId xmlns:a16="http://schemas.microsoft.com/office/drawing/2014/main" id="{2EF5776F-AB32-DD66-335D-36D9F601D093}"/>
            </a:ext>
          </a:extLst>
        </xdr:cNvPr>
        <xdr:cNvPicPr>
          <a:picLocks noChangeAspect="1"/>
        </xdr:cNvPicPr>
      </xdr:nvPicPr>
      <xdr:blipFill>
        <a:blip xmlns:r="http://schemas.openxmlformats.org/officeDocument/2006/relationships" r:embed="rId17"/>
        <a:stretch>
          <a:fillRect/>
        </a:stretch>
      </xdr:blipFill>
      <xdr:spPr>
        <a:xfrm>
          <a:off x="2847975" y="13839825"/>
          <a:ext cx="4644000" cy="3958640"/>
        </a:xfrm>
        <a:prstGeom prst="rect">
          <a:avLst/>
        </a:prstGeom>
      </xdr:spPr>
    </xdr:pic>
    <xdr:clientData/>
  </xdr:twoCellAnchor>
  <xdr:twoCellAnchor editAs="oneCell">
    <xdr:from>
      <xdr:col>12</xdr:col>
      <xdr:colOff>142875</xdr:colOff>
      <xdr:row>8</xdr:row>
      <xdr:rowOff>123825</xdr:rowOff>
    </xdr:from>
    <xdr:to>
      <xdr:col>19</xdr:col>
      <xdr:colOff>355650</xdr:colOff>
      <xdr:row>43</xdr:row>
      <xdr:rowOff>57408</xdr:rowOff>
    </xdr:to>
    <xdr:pic>
      <xdr:nvPicPr>
        <xdr:cNvPr id="33" name="Imagem 32">
          <a:extLst>
            <a:ext uri="{FF2B5EF4-FFF2-40B4-BE49-F238E27FC236}">
              <a16:creationId xmlns:a16="http://schemas.microsoft.com/office/drawing/2014/main" id="{CC0FC214-1EFF-099F-D597-132D89DD1390}"/>
            </a:ext>
          </a:extLst>
        </xdr:cNvPr>
        <xdr:cNvPicPr>
          <a:picLocks noChangeAspect="1"/>
        </xdr:cNvPicPr>
      </xdr:nvPicPr>
      <xdr:blipFill>
        <a:blip xmlns:r="http://schemas.openxmlformats.org/officeDocument/2006/relationships" r:embed="rId18"/>
        <a:stretch>
          <a:fillRect/>
        </a:stretch>
      </xdr:blipFill>
      <xdr:spPr>
        <a:xfrm>
          <a:off x="7934325" y="1524000"/>
          <a:ext cx="4680000" cy="6429633"/>
        </a:xfrm>
        <a:prstGeom prst="rect">
          <a:avLst/>
        </a:prstGeom>
      </xdr:spPr>
    </xdr:pic>
    <xdr:clientData/>
  </xdr:twoCellAnchor>
  <xdr:twoCellAnchor editAs="oneCell">
    <xdr:from>
      <xdr:col>12</xdr:col>
      <xdr:colOff>133350</xdr:colOff>
      <xdr:row>43</xdr:row>
      <xdr:rowOff>38100</xdr:rowOff>
    </xdr:from>
    <xdr:to>
      <xdr:col>19</xdr:col>
      <xdr:colOff>346125</xdr:colOff>
      <xdr:row>81</xdr:row>
      <xdr:rowOff>36804</xdr:rowOff>
    </xdr:to>
    <xdr:pic>
      <xdr:nvPicPr>
        <xdr:cNvPr id="34" name="Imagem 33">
          <a:extLst>
            <a:ext uri="{FF2B5EF4-FFF2-40B4-BE49-F238E27FC236}">
              <a16:creationId xmlns:a16="http://schemas.microsoft.com/office/drawing/2014/main" id="{952B7DA0-6E40-995D-59D4-7201F81FA9A8}"/>
            </a:ext>
          </a:extLst>
        </xdr:cNvPr>
        <xdr:cNvPicPr>
          <a:picLocks noChangeAspect="1"/>
        </xdr:cNvPicPr>
      </xdr:nvPicPr>
      <xdr:blipFill>
        <a:blip xmlns:r="http://schemas.openxmlformats.org/officeDocument/2006/relationships" r:embed="rId19"/>
        <a:stretch>
          <a:fillRect/>
        </a:stretch>
      </xdr:blipFill>
      <xdr:spPr>
        <a:xfrm>
          <a:off x="7924800" y="7934325"/>
          <a:ext cx="4680000" cy="6875754"/>
        </a:xfrm>
        <a:prstGeom prst="rect">
          <a:avLst/>
        </a:prstGeom>
      </xdr:spPr>
    </xdr:pic>
    <xdr:clientData/>
  </xdr:twoCellAnchor>
  <xdr:twoCellAnchor editAs="oneCell">
    <xdr:from>
      <xdr:col>12</xdr:col>
      <xdr:colOff>133350</xdr:colOff>
      <xdr:row>81</xdr:row>
      <xdr:rowOff>28575</xdr:rowOff>
    </xdr:from>
    <xdr:to>
      <xdr:col>19</xdr:col>
      <xdr:colOff>346125</xdr:colOff>
      <xdr:row>112</xdr:row>
      <xdr:rowOff>50581</xdr:rowOff>
    </xdr:to>
    <xdr:pic>
      <xdr:nvPicPr>
        <xdr:cNvPr id="35" name="Imagem 34">
          <a:extLst>
            <a:ext uri="{FF2B5EF4-FFF2-40B4-BE49-F238E27FC236}">
              <a16:creationId xmlns:a16="http://schemas.microsoft.com/office/drawing/2014/main" id="{D4935749-3C49-B1E3-8E17-4906E7E9ACAE}"/>
            </a:ext>
          </a:extLst>
        </xdr:cNvPr>
        <xdr:cNvPicPr>
          <a:picLocks noChangeAspect="1"/>
        </xdr:cNvPicPr>
      </xdr:nvPicPr>
      <xdr:blipFill>
        <a:blip xmlns:r="http://schemas.openxmlformats.org/officeDocument/2006/relationships" r:embed="rId20"/>
        <a:stretch>
          <a:fillRect/>
        </a:stretch>
      </xdr:blipFill>
      <xdr:spPr>
        <a:xfrm>
          <a:off x="7924800" y="14801850"/>
          <a:ext cx="4680000" cy="5632231"/>
        </a:xfrm>
        <a:prstGeom prst="rect">
          <a:avLst/>
        </a:prstGeom>
      </xdr:spPr>
    </xdr:pic>
    <xdr:clientData/>
  </xdr:twoCellAnchor>
  <xdr:twoCellAnchor editAs="oneCell">
    <xdr:from>
      <xdr:col>20</xdr:col>
      <xdr:colOff>219075</xdr:colOff>
      <xdr:row>8</xdr:row>
      <xdr:rowOff>104775</xdr:rowOff>
    </xdr:from>
    <xdr:to>
      <xdr:col>27</xdr:col>
      <xdr:colOff>546150</xdr:colOff>
      <xdr:row>38</xdr:row>
      <xdr:rowOff>115418</xdr:rowOff>
    </xdr:to>
    <xdr:pic>
      <xdr:nvPicPr>
        <xdr:cNvPr id="36" name="Imagem 35">
          <a:extLst>
            <a:ext uri="{FF2B5EF4-FFF2-40B4-BE49-F238E27FC236}">
              <a16:creationId xmlns:a16="http://schemas.microsoft.com/office/drawing/2014/main" id="{33BD53FC-6D73-7D51-C411-9FF1FB2D9F47}"/>
            </a:ext>
          </a:extLst>
        </xdr:cNvPr>
        <xdr:cNvPicPr>
          <a:picLocks noChangeAspect="1"/>
        </xdr:cNvPicPr>
      </xdr:nvPicPr>
      <xdr:blipFill>
        <a:blip xmlns:r="http://schemas.openxmlformats.org/officeDocument/2006/relationships" r:embed="rId21"/>
        <a:stretch>
          <a:fillRect/>
        </a:stretch>
      </xdr:blipFill>
      <xdr:spPr>
        <a:xfrm>
          <a:off x="13163550" y="1504950"/>
          <a:ext cx="4680000" cy="5601818"/>
        </a:xfrm>
        <a:prstGeom prst="rect">
          <a:avLst/>
        </a:prstGeom>
      </xdr:spPr>
    </xdr:pic>
    <xdr:clientData/>
  </xdr:twoCellAnchor>
  <xdr:twoCellAnchor editAs="oneCell">
    <xdr:from>
      <xdr:col>20</xdr:col>
      <xdr:colOff>209550</xdr:colOff>
      <xdr:row>38</xdr:row>
      <xdr:rowOff>85726</xdr:rowOff>
    </xdr:from>
    <xdr:to>
      <xdr:col>27</xdr:col>
      <xdr:colOff>536625</xdr:colOff>
      <xdr:row>76</xdr:row>
      <xdr:rowOff>146475</xdr:rowOff>
    </xdr:to>
    <xdr:pic>
      <xdr:nvPicPr>
        <xdr:cNvPr id="37" name="Imagem 36">
          <a:extLst>
            <a:ext uri="{FF2B5EF4-FFF2-40B4-BE49-F238E27FC236}">
              <a16:creationId xmlns:a16="http://schemas.microsoft.com/office/drawing/2014/main" id="{1BFBC7CC-BF0E-6EEF-A3EB-110F1FC90C61}"/>
            </a:ext>
          </a:extLst>
        </xdr:cNvPr>
        <xdr:cNvPicPr>
          <a:picLocks noChangeAspect="1"/>
        </xdr:cNvPicPr>
      </xdr:nvPicPr>
      <xdr:blipFill>
        <a:blip xmlns:r="http://schemas.openxmlformats.org/officeDocument/2006/relationships" r:embed="rId22"/>
        <a:stretch>
          <a:fillRect/>
        </a:stretch>
      </xdr:blipFill>
      <xdr:spPr>
        <a:xfrm>
          <a:off x="13154025" y="7077076"/>
          <a:ext cx="4680000" cy="6937799"/>
        </a:xfrm>
        <a:prstGeom prst="rect">
          <a:avLst/>
        </a:prstGeom>
      </xdr:spPr>
    </xdr:pic>
    <xdr:clientData/>
  </xdr:twoCellAnchor>
  <xdr:twoCellAnchor editAs="oneCell">
    <xdr:from>
      <xdr:col>20</xdr:col>
      <xdr:colOff>209550</xdr:colOff>
      <xdr:row>76</xdr:row>
      <xdr:rowOff>123825</xdr:rowOff>
    </xdr:from>
    <xdr:to>
      <xdr:col>27</xdr:col>
      <xdr:colOff>536625</xdr:colOff>
      <xdr:row>102</xdr:row>
      <xdr:rowOff>66162</xdr:rowOff>
    </xdr:to>
    <xdr:pic>
      <xdr:nvPicPr>
        <xdr:cNvPr id="38" name="Imagem 37">
          <a:extLst>
            <a:ext uri="{FF2B5EF4-FFF2-40B4-BE49-F238E27FC236}">
              <a16:creationId xmlns:a16="http://schemas.microsoft.com/office/drawing/2014/main" id="{E8133C8D-78DB-CF81-1822-D69537F7CD38}"/>
            </a:ext>
          </a:extLst>
        </xdr:cNvPr>
        <xdr:cNvPicPr>
          <a:picLocks noChangeAspect="1"/>
        </xdr:cNvPicPr>
      </xdr:nvPicPr>
      <xdr:blipFill>
        <a:blip xmlns:r="http://schemas.openxmlformats.org/officeDocument/2006/relationships" r:embed="rId23"/>
        <a:stretch>
          <a:fillRect/>
        </a:stretch>
      </xdr:blipFill>
      <xdr:spPr>
        <a:xfrm>
          <a:off x="13154025" y="13992225"/>
          <a:ext cx="4680000" cy="4647687"/>
        </a:xfrm>
        <a:prstGeom prst="rect">
          <a:avLst/>
        </a:prstGeom>
      </xdr:spPr>
    </xdr:pic>
    <xdr:clientData/>
  </xdr:twoCellAnchor>
  <xdr:twoCellAnchor editAs="oneCell">
    <xdr:from>
      <xdr:col>28</xdr:col>
      <xdr:colOff>161925</xdr:colOff>
      <xdr:row>8</xdr:row>
      <xdr:rowOff>85726</xdr:rowOff>
    </xdr:from>
    <xdr:to>
      <xdr:col>35</xdr:col>
      <xdr:colOff>546150</xdr:colOff>
      <xdr:row>45</xdr:row>
      <xdr:rowOff>133447</xdr:rowOff>
    </xdr:to>
    <xdr:pic>
      <xdr:nvPicPr>
        <xdr:cNvPr id="39" name="Imagem 38">
          <a:extLst>
            <a:ext uri="{FF2B5EF4-FFF2-40B4-BE49-F238E27FC236}">
              <a16:creationId xmlns:a16="http://schemas.microsoft.com/office/drawing/2014/main" id="{390905E2-19CF-1F7B-3C2E-3BAF05BC4A5F}"/>
            </a:ext>
          </a:extLst>
        </xdr:cNvPr>
        <xdr:cNvPicPr>
          <a:picLocks noChangeAspect="1"/>
        </xdr:cNvPicPr>
      </xdr:nvPicPr>
      <xdr:blipFill>
        <a:blip xmlns:r="http://schemas.openxmlformats.org/officeDocument/2006/relationships" r:embed="rId24"/>
        <a:stretch>
          <a:fillRect/>
        </a:stretch>
      </xdr:blipFill>
      <xdr:spPr>
        <a:xfrm>
          <a:off x="18145125" y="1485901"/>
          <a:ext cx="4680000" cy="6905721"/>
        </a:xfrm>
        <a:prstGeom prst="rect">
          <a:avLst/>
        </a:prstGeom>
      </xdr:spPr>
    </xdr:pic>
    <xdr:clientData/>
  </xdr:twoCellAnchor>
  <xdr:twoCellAnchor editAs="oneCell">
    <xdr:from>
      <xdr:col>28</xdr:col>
      <xdr:colOff>142875</xdr:colOff>
      <xdr:row>45</xdr:row>
      <xdr:rowOff>28575</xdr:rowOff>
    </xdr:from>
    <xdr:to>
      <xdr:col>35</xdr:col>
      <xdr:colOff>537900</xdr:colOff>
      <xdr:row>82</xdr:row>
      <xdr:rowOff>114182</xdr:rowOff>
    </xdr:to>
    <xdr:pic>
      <xdr:nvPicPr>
        <xdr:cNvPr id="40" name="Imagem 39">
          <a:extLst>
            <a:ext uri="{FF2B5EF4-FFF2-40B4-BE49-F238E27FC236}">
              <a16:creationId xmlns:a16="http://schemas.microsoft.com/office/drawing/2014/main" id="{F4FFE816-CB0F-FDAE-8562-470DA638653B}"/>
            </a:ext>
          </a:extLst>
        </xdr:cNvPr>
        <xdr:cNvPicPr>
          <a:picLocks noChangeAspect="1"/>
        </xdr:cNvPicPr>
      </xdr:nvPicPr>
      <xdr:blipFill>
        <a:blip xmlns:r="http://schemas.openxmlformats.org/officeDocument/2006/relationships" r:embed="rId25"/>
        <a:stretch>
          <a:fillRect/>
        </a:stretch>
      </xdr:blipFill>
      <xdr:spPr>
        <a:xfrm>
          <a:off x="18126075" y="8286750"/>
          <a:ext cx="4690800" cy="6781682"/>
        </a:xfrm>
        <a:prstGeom prst="rect">
          <a:avLst/>
        </a:prstGeom>
      </xdr:spPr>
    </xdr:pic>
    <xdr:clientData/>
  </xdr:twoCellAnchor>
  <xdr:twoCellAnchor editAs="oneCell">
    <xdr:from>
      <xdr:col>29</xdr:col>
      <xdr:colOff>0</xdr:colOff>
      <xdr:row>82</xdr:row>
      <xdr:rowOff>104776</xdr:rowOff>
    </xdr:from>
    <xdr:to>
      <xdr:col>35</xdr:col>
      <xdr:colOff>511200</xdr:colOff>
      <xdr:row>119</xdr:row>
      <xdr:rowOff>7954</xdr:rowOff>
    </xdr:to>
    <xdr:pic>
      <xdr:nvPicPr>
        <xdr:cNvPr id="41" name="Imagem 40">
          <a:extLst>
            <a:ext uri="{FF2B5EF4-FFF2-40B4-BE49-F238E27FC236}">
              <a16:creationId xmlns:a16="http://schemas.microsoft.com/office/drawing/2014/main" id="{7B301178-85AE-6268-32C8-C54EC35AB2AE}"/>
            </a:ext>
          </a:extLst>
        </xdr:cNvPr>
        <xdr:cNvPicPr>
          <a:picLocks noChangeAspect="1"/>
        </xdr:cNvPicPr>
      </xdr:nvPicPr>
      <xdr:blipFill>
        <a:blip xmlns:r="http://schemas.openxmlformats.org/officeDocument/2006/relationships" r:embed="rId26"/>
        <a:stretch>
          <a:fillRect/>
        </a:stretch>
      </xdr:blipFill>
      <xdr:spPr>
        <a:xfrm>
          <a:off x="18164175" y="15059026"/>
          <a:ext cx="4626000" cy="6599253"/>
        </a:xfrm>
        <a:prstGeom prst="rect">
          <a:avLst/>
        </a:prstGeom>
      </xdr:spPr>
    </xdr:pic>
    <xdr:clientData/>
  </xdr:twoCellAnchor>
  <xdr:twoCellAnchor editAs="oneCell">
    <xdr:from>
      <xdr:col>36</xdr:col>
      <xdr:colOff>209550</xdr:colOff>
      <xdr:row>8</xdr:row>
      <xdr:rowOff>66675</xdr:rowOff>
    </xdr:from>
    <xdr:to>
      <xdr:col>43</xdr:col>
      <xdr:colOff>546150</xdr:colOff>
      <xdr:row>45</xdr:row>
      <xdr:rowOff>108273</xdr:rowOff>
    </xdr:to>
    <xdr:pic>
      <xdr:nvPicPr>
        <xdr:cNvPr id="42" name="Imagem 41">
          <a:extLst>
            <a:ext uri="{FF2B5EF4-FFF2-40B4-BE49-F238E27FC236}">
              <a16:creationId xmlns:a16="http://schemas.microsoft.com/office/drawing/2014/main" id="{6C54E6C2-4932-EAB2-5B65-16A5F53E1C4B}"/>
            </a:ext>
          </a:extLst>
        </xdr:cNvPr>
        <xdr:cNvPicPr>
          <a:picLocks noChangeAspect="1"/>
        </xdr:cNvPicPr>
      </xdr:nvPicPr>
      <xdr:blipFill>
        <a:blip xmlns:r="http://schemas.openxmlformats.org/officeDocument/2006/relationships" r:embed="rId27"/>
        <a:stretch>
          <a:fillRect/>
        </a:stretch>
      </xdr:blipFill>
      <xdr:spPr>
        <a:xfrm>
          <a:off x="23174325" y="1466850"/>
          <a:ext cx="4680000" cy="6899598"/>
        </a:xfrm>
        <a:prstGeom prst="rect">
          <a:avLst/>
        </a:prstGeom>
      </xdr:spPr>
    </xdr:pic>
    <xdr:clientData/>
  </xdr:twoCellAnchor>
  <xdr:twoCellAnchor editAs="oneCell">
    <xdr:from>
      <xdr:col>36</xdr:col>
      <xdr:colOff>142875</xdr:colOff>
      <xdr:row>45</xdr:row>
      <xdr:rowOff>47625</xdr:rowOff>
    </xdr:from>
    <xdr:to>
      <xdr:col>43</xdr:col>
      <xdr:colOff>595950</xdr:colOff>
      <xdr:row>86</xdr:row>
      <xdr:rowOff>153529</xdr:rowOff>
    </xdr:to>
    <xdr:pic>
      <xdr:nvPicPr>
        <xdr:cNvPr id="43" name="Imagem 42">
          <a:extLst>
            <a:ext uri="{FF2B5EF4-FFF2-40B4-BE49-F238E27FC236}">
              <a16:creationId xmlns:a16="http://schemas.microsoft.com/office/drawing/2014/main" id="{F7DA7D2C-1F68-75DE-0F5E-0A2AB88BBDE1}"/>
            </a:ext>
          </a:extLst>
        </xdr:cNvPr>
        <xdr:cNvPicPr>
          <a:picLocks noChangeAspect="1"/>
        </xdr:cNvPicPr>
      </xdr:nvPicPr>
      <xdr:blipFill>
        <a:blip xmlns:r="http://schemas.openxmlformats.org/officeDocument/2006/relationships" r:embed="rId28"/>
        <a:stretch>
          <a:fillRect/>
        </a:stretch>
      </xdr:blipFill>
      <xdr:spPr>
        <a:xfrm>
          <a:off x="23107650" y="8305800"/>
          <a:ext cx="4806000" cy="7525879"/>
        </a:xfrm>
        <a:prstGeom prst="rect">
          <a:avLst/>
        </a:prstGeom>
      </xdr:spPr>
    </xdr:pic>
    <xdr:clientData/>
  </xdr:twoCellAnchor>
  <xdr:twoCellAnchor editAs="oneCell">
    <xdr:from>
      <xdr:col>44</xdr:col>
      <xdr:colOff>190500</xdr:colOff>
      <xdr:row>8</xdr:row>
      <xdr:rowOff>47625</xdr:rowOff>
    </xdr:from>
    <xdr:to>
      <xdr:col>51</xdr:col>
      <xdr:colOff>536625</xdr:colOff>
      <xdr:row>43</xdr:row>
      <xdr:rowOff>173333</xdr:rowOff>
    </xdr:to>
    <xdr:pic>
      <xdr:nvPicPr>
        <xdr:cNvPr id="44" name="Imagem 43">
          <a:extLst>
            <a:ext uri="{FF2B5EF4-FFF2-40B4-BE49-F238E27FC236}">
              <a16:creationId xmlns:a16="http://schemas.microsoft.com/office/drawing/2014/main" id="{596851C1-C1B1-58EE-B100-1DEBC2A24D03}"/>
            </a:ext>
          </a:extLst>
        </xdr:cNvPr>
        <xdr:cNvPicPr>
          <a:picLocks noChangeAspect="1"/>
        </xdr:cNvPicPr>
      </xdr:nvPicPr>
      <xdr:blipFill>
        <a:blip xmlns:r="http://schemas.openxmlformats.org/officeDocument/2006/relationships" r:embed="rId29"/>
        <a:stretch>
          <a:fillRect/>
        </a:stretch>
      </xdr:blipFill>
      <xdr:spPr>
        <a:xfrm>
          <a:off x="28184475" y="1447800"/>
          <a:ext cx="4680000" cy="6621758"/>
        </a:xfrm>
        <a:prstGeom prst="rect">
          <a:avLst/>
        </a:prstGeom>
      </xdr:spPr>
    </xdr:pic>
    <xdr:clientData/>
  </xdr:twoCellAnchor>
  <xdr:twoCellAnchor editAs="oneCell">
    <xdr:from>
      <xdr:col>44</xdr:col>
      <xdr:colOff>190500</xdr:colOff>
      <xdr:row>43</xdr:row>
      <xdr:rowOff>142875</xdr:rowOff>
    </xdr:from>
    <xdr:to>
      <xdr:col>51</xdr:col>
      <xdr:colOff>536625</xdr:colOff>
      <xdr:row>57</xdr:row>
      <xdr:rowOff>6809</xdr:rowOff>
    </xdr:to>
    <xdr:pic>
      <xdr:nvPicPr>
        <xdr:cNvPr id="45" name="Imagem 44">
          <a:extLst>
            <a:ext uri="{FF2B5EF4-FFF2-40B4-BE49-F238E27FC236}">
              <a16:creationId xmlns:a16="http://schemas.microsoft.com/office/drawing/2014/main" id="{AFF6EA80-72F2-BA4F-85EE-7BBA089386C5}"/>
            </a:ext>
          </a:extLst>
        </xdr:cNvPr>
        <xdr:cNvPicPr>
          <a:picLocks noChangeAspect="1"/>
        </xdr:cNvPicPr>
      </xdr:nvPicPr>
      <xdr:blipFill>
        <a:blip xmlns:r="http://schemas.openxmlformats.org/officeDocument/2006/relationships" r:embed="rId30"/>
        <a:stretch>
          <a:fillRect/>
        </a:stretch>
      </xdr:blipFill>
      <xdr:spPr>
        <a:xfrm>
          <a:off x="28184475" y="8039100"/>
          <a:ext cx="4680000" cy="2397584"/>
        </a:xfrm>
        <a:prstGeom prst="rect">
          <a:avLst/>
        </a:prstGeom>
      </xdr:spPr>
    </xdr:pic>
    <xdr:clientData/>
  </xdr:twoCellAnchor>
  <xdr:twoCellAnchor editAs="oneCell">
    <xdr:from>
      <xdr:col>52</xdr:col>
      <xdr:colOff>266700</xdr:colOff>
      <xdr:row>8</xdr:row>
      <xdr:rowOff>38100</xdr:rowOff>
    </xdr:from>
    <xdr:to>
      <xdr:col>59</xdr:col>
      <xdr:colOff>546150</xdr:colOff>
      <xdr:row>45</xdr:row>
      <xdr:rowOff>139696</xdr:rowOff>
    </xdr:to>
    <xdr:pic>
      <xdr:nvPicPr>
        <xdr:cNvPr id="46" name="Imagem 45">
          <a:extLst>
            <a:ext uri="{FF2B5EF4-FFF2-40B4-BE49-F238E27FC236}">
              <a16:creationId xmlns:a16="http://schemas.microsoft.com/office/drawing/2014/main" id="{374ED30F-E99E-7E4D-60AA-F4980936FC62}"/>
            </a:ext>
          </a:extLst>
        </xdr:cNvPr>
        <xdr:cNvPicPr>
          <a:picLocks noChangeAspect="1"/>
        </xdr:cNvPicPr>
      </xdr:nvPicPr>
      <xdr:blipFill>
        <a:blip xmlns:r="http://schemas.openxmlformats.org/officeDocument/2006/relationships" r:embed="rId31"/>
        <a:stretch>
          <a:fillRect/>
        </a:stretch>
      </xdr:blipFill>
      <xdr:spPr>
        <a:xfrm>
          <a:off x="33280350" y="1438275"/>
          <a:ext cx="4680000" cy="6959596"/>
        </a:xfrm>
        <a:prstGeom prst="rect">
          <a:avLst/>
        </a:prstGeom>
      </xdr:spPr>
    </xdr:pic>
    <xdr:clientData/>
  </xdr:twoCellAnchor>
  <xdr:twoCellAnchor editAs="oneCell">
    <xdr:from>
      <xdr:col>52</xdr:col>
      <xdr:colOff>257175</xdr:colOff>
      <xdr:row>45</xdr:row>
      <xdr:rowOff>114300</xdr:rowOff>
    </xdr:from>
    <xdr:to>
      <xdr:col>59</xdr:col>
      <xdr:colOff>536625</xdr:colOff>
      <xdr:row>70</xdr:row>
      <xdr:rowOff>86498</xdr:rowOff>
    </xdr:to>
    <xdr:pic>
      <xdr:nvPicPr>
        <xdr:cNvPr id="47" name="Imagem 46">
          <a:extLst>
            <a:ext uri="{FF2B5EF4-FFF2-40B4-BE49-F238E27FC236}">
              <a16:creationId xmlns:a16="http://schemas.microsoft.com/office/drawing/2014/main" id="{D245CB64-71CB-4D3C-4875-BF2A15040EC8}"/>
            </a:ext>
          </a:extLst>
        </xdr:cNvPr>
        <xdr:cNvPicPr>
          <a:picLocks noChangeAspect="1"/>
        </xdr:cNvPicPr>
      </xdr:nvPicPr>
      <xdr:blipFill>
        <a:blip xmlns:r="http://schemas.openxmlformats.org/officeDocument/2006/relationships" r:embed="rId32"/>
        <a:stretch>
          <a:fillRect/>
        </a:stretch>
      </xdr:blipFill>
      <xdr:spPr>
        <a:xfrm>
          <a:off x="33270825" y="8372475"/>
          <a:ext cx="4680000" cy="4496573"/>
        </a:xfrm>
        <a:prstGeom prst="rect">
          <a:avLst/>
        </a:prstGeom>
      </xdr:spPr>
    </xdr:pic>
    <xdr:clientData/>
  </xdr:twoCellAnchor>
  <xdr:twoCellAnchor editAs="oneCell">
    <xdr:from>
      <xdr:col>60</xdr:col>
      <xdr:colOff>142875</xdr:colOff>
      <xdr:row>8</xdr:row>
      <xdr:rowOff>47626</xdr:rowOff>
    </xdr:from>
    <xdr:to>
      <xdr:col>67</xdr:col>
      <xdr:colOff>527100</xdr:colOff>
      <xdr:row>50</xdr:row>
      <xdr:rowOff>100350</xdr:rowOff>
    </xdr:to>
    <xdr:pic>
      <xdr:nvPicPr>
        <xdr:cNvPr id="48" name="Imagem 47">
          <a:extLst>
            <a:ext uri="{FF2B5EF4-FFF2-40B4-BE49-F238E27FC236}">
              <a16:creationId xmlns:a16="http://schemas.microsoft.com/office/drawing/2014/main" id="{D61877C7-B7DF-73A8-6FD9-AF6FD41DE618}"/>
            </a:ext>
          </a:extLst>
        </xdr:cNvPr>
        <xdr:cNvPicPr>
          <a:picLocks noChangeAspect="1"/>
        </xdr:cNvPicPr>
      </xdr:nvPicPr>
      <xdr:blipFill>
        <a:blip xmlns:r="http://schemas.openxmlformats.org/officeDocument/2006/relationships" r:embed="rId33"/>
        <a:stretch>
          <a:fillRect/>
        </a:stretch>
      </xdr:blipFill>
      <xdr:spPr>
        <a:xfrm>
          <a:off x="38242875" y="1447801"/>
          <a:ext cx="4680000" cy="7815599"/>
        </a:xfrm>
        <a:prstGeom prst="rect">
          <a:avLst/>
        </a:prstGeom>
      </xdr:spPr>
    </xdr:pic>
    <xdr:clientData/>
  </xdr:twoCellAnchor>
  <xdr:twoCellAnchor editAs="oneCell">
    <xdr:from>
      <xdr:col>68</xdr:col>
      <xdr:colOff>190500</xdr:colOff>
      <xdr:row>8</xdr:row>
      <xdr:rowOff>28575</xdr:rowOff>
    </xdr:from>
    <xdr:to>
      <xdr:col>75</xdr:col>
      <xdr:colOff>536625</xdr:colOff>
      <xdr:row>40</xdr:row>
      <xdr:rowOff>3798</xdr:rowOff>
    </xdr:to>
    <xdr:pic>
      <xdr:nvPicPr>
        <xdr:cNvPr id="49" name="Imagem 48">
          <a:extLst>
            <a:ext uri="{FF2B5EF4-FFF2-40B4-BE49-F238E27FC236}">
              <a16:creationId xmlns:a16="http://schemas.microsoft.com/office/drawing/2014/main" id="{A5D37DAD-CD51-A297-10D0-59DCFFF255E2}"/>
            </a:ext>
          </a:extLst>
        </xdr:cNvPr>
        <xdr:cNvPicPr>
          <a:picLocks noChangeAspect="1"/>
        </xdr:cNvPicPr>
      </xdr:nvPicPr>
      <xdr:blipFill>
        <a:blip xmlns:r="http://schemas.openxmlformats.org/officeDocument/2006/relationships" r:embed="rId34"/>
        <a:stretch>
          <a:fillRect/>
        </a:stretch>
      </xdr:blipFill>
      <xdr:spPr>
        <a:xfrm>
          <a:off x="43272075" y="1428750"/>
          <a:ext cx="4680000" cy="5928348"/>
        </a:xfrm>
        <a:prstGeom prst="rect">
          <a:avLst/>
        </a:prstGeom>
      </xdr:spPr>
    </xdr:pic>
    <xdr:clientData/>
  </xdr:twoCellAnchor>
  <xdr:twoCellAnchor editAs="oneCell">
    <xdr:from>
      <xdr:col>1</xdr:col>
      <xdr:colOff>38100</xdr:colOff>
      <xdr:row>1</xdr:row>
      <xdr:rowOff>19050</xdr:rowOff>
    </xdr:from>
    <xdr:to>
      <xdr:col>4</xdr:col>
      <xdr:colOff>301344</xdr:colOff>
      <xdr:row>7</xdr:row>
      <xdr:rowOff>9525</xdr:rowOff>
    </xdr:to>
    <xdr:pic>
      <xdr:nvPicPr>
        <xdr:cNvPr id="2" name="Imagem 1">
          <a:extLst>
            <a:ext uri="{FF2B5EF4-FFF2-40B4-BE49-F238E27FC236}">
              <a16:creationId xmlns:a16="http://schemas.microsoft.com/office/drawing/2014/main" id="{73EB7CC9-C0C6-4574-B19C-751E6B311AA9}"/>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28365" b="34296"/>
        <a:stretch/>
      </xdr:blipFill>
      <xdr:spPr>
        <a:xfrm>
          <a:off x="152400" y="123825"/>
          <a:ext cx="2092044" cy="1104900"/>
        </a:xfrm>
        <a:prstGeom prst="rect">
          <a:avLst/>
        </a:prstGeom>
      </xdr:spPr>
    </xdr:pic>
    <xdr:clientData/>
  </xdr:twoCellAnchor>
  <xdr:twoCellAnchor>
    <xdr:from>
      <xdr:col>11</xdr:col>
      <xdr:colOff>28575</xdr:colOff>
      <xdr:row>1</xdr:row>
      <xdr:rowOff>95250</xdr:rowOff>
    </xdr:from>
    <xdr:to>
      <xdr:col>15</xdr:col>
      <xdr:colOff>19050</xdr:colOff>
      <xdr:row>4</xdr:row>
      <xdr:rowOff>95250</xdr:rowOff>
    </xdr:to>
    <xdr:sp macro="" textlink="">
      <xdr:nvSpPr>
        <xdr:cNvPr id="6" name="Retângulo Arredondado 27">
          <a:hlinkClick xmlns:r="http://schemas.openxmlformats.org/officeDocument/2006/relationships" r:id="rId36"/>
          <a:extLst>
            <a:ext uri="{FF2B5EF4-FFF2-40B4-BE49-F238E27FC236}">
              <a16:creationId xmlns:a16="http://schemas.microsoft.com/office/drawing/2014/main" id="{9C71BA6D-17ED-4B0C-B392-F825DF588514}"/>
            </a:ext>
          </a:extLst>
        </xdr:cNvPr>
        <xdr:cNvSpPr/>
      </xdr:nvSpPr>
      <xdr:spPr>
        <a:xfrm>
          <a:off x="6276975" y="200025"/>
          <a:ext cx="192405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Resolução</a:t>
          </a:r>
          <a:r>
            <a:rPr lang="pt-BR" sz="1100" baseline="0">
              <a:solidFill>
                <a:schemeClr val="tx1">
                  <a:lumMod val="75000"/>
                  <a:lumOff val="25000"/>
                </a:schemeClr>
              </a:solidFill>
              <a:latin typeface="Calibri" panose="020F0502020204030204" pitchFamily="34" charset="0"/>
              <a:cs typeface="Calibri" panose="020F0502020204030204" pitchFamily="34" charset="0"/>
            </a:rPr>
            <a:t> Orcispar</a:t>
          </a:r>
          <a:r>
            <a:rPr lang="pt-BR" sz="1100">
              <a:solidFill>
                <a:schemeClr val="tx1">
                  <a:lumMod val="75000"/>
                  <a:lumOff val="25000"/>
                </a:schemeClr>
              </a:solidFill>
              <a:latin typeface="Calibri" panose="020F0502020204030204" pitchFamily="34" charset="0"/>
              <a:cs typeface="Calibri" panose="020F0502020204030204" pitchFamily="34" charset="0"/>
            </a:rPr>
            <a:t> n° 02/2026</a:t>
          </a:r>
          <a:r>
            <a:rPr lang="pt-BR" sz="1100" baseline="0">
              <a:solidFill>
                <a:schemeClr val="tx1">
                  <a:lumMod val="75000"/>
                  <a:lumOff val="25000"/>
                </a:schemeClr>
              </a:solidFill>
              <a:latin typeface="Calibri" panose="020F0502020204030204" pitchFamily="34" charset="0"/>
              <a:cs typeface="Calibri" panose="020F0502020204030204" pitchFamily="34" charset="0"/>
            </a:rPr>
            <a:t> </a:t>
          </a:r>
          <a:r>
            <a:rPr lang="pt-BR" sz="1100">
              <a:solidFill>
                <a:schemeClr val="tx1">
                  <a:lumMod val="75000"/>
                  <a:lumOff val="25000"/>
                </a:schemeClr>
              </a:solidFill>
              <a:latin typeface="Calibri" panose="020F0502020204030204" pitchFamily="34" charset="0"/>
              <a:cs typeface="Calibri" panose="020F0502020204030204" pitchFamily="34" charset="0"/>
            </a:rPr>
            <a:t>na íntegra</a:t>
          </a:r>
        </a:p>
      </xdr:txBody>
    </xdr:sp>
    <xdr:clientData/>
  </xdr:twoCellAnchor>
  <xdr:twoCellAnchor>
    <xdr:from>
      <xdr:col>15</xdr:col>
      <xdr:colOff>133350</xdr:colOff>
      <xdr:row>1</xdr:row>
      <xdr:rowOff>85725</xdr:rowOff>
    </xdr:from>
    <xdr:to>
      <xdr:col>18</xdr:col>
      <xdr:colOff>142875</xdr:colOff>
      <xdr:row>4</xdr:row>
      <xdr:rowOff>95250</xdr:rowOff>
    </xdr:to>
    <xdr:sp macro="" textlink="">
      <xdr:nvSpPr>
        <xdr:cNvPr id="7" name="Retângulo Arredondado 27">
          <a:hlinkClick xmlns:r="http://schemas.openxmlformats.org/officeDocument/2006/relationships" r:id="rId37"/>
          <a:extLst>
            <a:ext uri="{FF2B5EF4-FFF2-40B4-BE49-F238E27FC236}">
              <a16:creationId xmlns:a16="http://schemas.microsoft.com/office/drawing/2014/main" id="{EEC11E51-901D-4ACB-ACDD-55CFFC645E26}"/>
            </a:ext>
          </a:extLst>
        </xdr:cNvPr>
        <xdr:cNvSpPr/>
      </xdr:nvSpPr>
      <xdr:spPr>
        <a:xfrm>
          <a:off x="8315325" y="190500"/>
          <a:ext cx="1981200" cy="552450"/>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Resolução Orcispar n° 03/2026 na íntegra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3" name="Retângulo 2">
          <a:extLst>
            <a:ext uri="{FF2B5EF4-FFF2-40B4-BE49-F238E27FC236}">
              <a16:creationId xmlns:a16="http://schemas.microsoft.com/office/drawing/2014/main" id="{1D967CD5-0975-45C4-A95A-CD7F43467AE1}"/>
            </a:ext>
          </a:extLst>
        </xdr:cNvPr>
        <xdr:cNvSpPr/>
      </xdr:nvSpPr>
      <xdr:spPr>
        <a:xfrm>
          <a:off x="114300" y="12954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4" name="Retângulo 3">
          <a:hlinkClick xmlns:r="http://schemas.openxmlformats.org/officeDocument/2006/relationships" r:id="rId1"/>
          <a:extLst>
            <a:ext uri="{FF2B5EF4-FFF2-40B4-BE49-F238E27FC236}">
              <a16:creationId xmlns:a16="http://schemas.microsoft.com/office/drawing/2014/main" id="{555F1FD1-D3BF-4EE5-8D73-8F3EB02937E6}"/>
            </a:ext>
          </a:extLst>
        </xdr:cNvPr>
        <xdr:cNvSpPr/>
      </xdr:nvSpPr>
      <xdr:spPr>
        <a:xfrm>
          <a:off x="114300" y="15525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ABDCD61D-EB2A-43E1-96D8-4204E3958FB2}"/>
            </a:ext>
          </a:extLst>
        </xdr:cNvPr>
        <xdr:cNvSpPr/>
      </xdr:nvSpPr>
      <xdr:spPr>
        <a:xfrm>
          <a:off x="114300" y="180022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14300" y="20574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14300" y="23145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14300" y="257175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14300" y="282892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10" name="Retângulo 9">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14300" y="30861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1" name="Retângulo 10">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14300" y="33432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2" name="Retângulo 11">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14300" y="35814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4</xdr:col>
      <xdr:colOff>79375</xdr:colOff>
      <xdr:row>23</xdr:row>
      <xdr:rowOff>47625</xdr:rowOff>
    </xdr:to>
    <xdr:grpSp>
      <xdr:nvGrpSpPr>
        <xdr:cNvPr id="16" name="Agrupar 15">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812925" cy="447675"/>
          <a:chOff x="209550" y="3868843"/>
          <a:chExt cx="1495425" cy="438150"/>
        </a:xfrm>
      </xdr:grpSpPr>
      <xdr:pic>
        <xdr:nvPicPr>
          <xdr:cNvPr id="14"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5" name="Retângulo 14">
            <a:extLst>
              <a:ext uri="{FF2B5EF4-FFF2-40B4-BE49-F238E27FC236}">
                <a16:creationId xmlns:a16="http://schemas.microsoft.com/office/drawing/2014/main" id="{2C5FE83D-2797-ED11-F8A8-EEBF33BBC2DC}"/>
              </a:ext>
            </a:extLst>
          </xdr:cNvPr>
          <xdr:cNvSpPr/>
        </xdr:nvSpPr>
        <xdr:spPr>
          <a:xfrm>
            <a:off x="457200" y="3868843"/>
            <a:ext cx="1247775"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11</xdr:row>
      <xdr:rowOff>123825</xdr:rowOff>
    </xdr:from>
    <xdr:to>
      <xdr:col>20</xdr:col>
      <xdr:colOff>600074</xdr:colOff>
      <xdr:row>24</xdr:row>
      <xdr:rowOff>0</xdr:rowOff>
    </xdr:to>
    <xdr:graphicFrame macro="">
      <xdr:nvGraphicFramePr>
        <xdr:cNvPr id="21" name="Gráfico 20">
          <a:extLst>
            <a:ext uri="{FF2B5EF4-FFF2-40B4-BE49-F238E27FC236}">
              <a16:creationId xmlns:a16="http://schemas.microsoft.com/office/drawing/2014/main" id="{F06ECB67-CA8A-69E6-355C-6C5B9FB8E9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38100</xdr:colOff>
      <xdr:row>1</xdr:row>
      <xdr:rowOff>9525</xdr:rowOff>
    </xdr:from>
    <xdr:to>
      <xdr:col>4</xdr:col>
      <xdr:colOff>301344</xdr:colOff>
      <xdr:row>7</xdr:row>
      <xdr:rowOff>0</xdr:rowOff>
    </xdr:to>
    <xdr:pic>
      <xdr:nvPicPr>
        <xdr:cNvPr id="2" name="Imagem 1">
          <a:extLst>
            <a:ext uri="{FF2B5EF4-FFF2-40B4-BE49-F238E27FC236}">
              <a16:creationId xmlns:a16="http://schemas.microsoft.com/office/drawing/2014/main" id="{FF0DBCDC-E1EB-4536-ADCD-5B3D4DA9A71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52400" y="114300"/>
          <a:ext cx="2092044"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1D967CD5-0975-45C4-A95A-CD7F43467AE1}"/>
            </a:ext>
          </a:extLst>
        </xdr:cNvPr>
        <xdr:cNvSpPr/>
      </xdr:nvSpPr>
      <xdr:spPr>
        <a:xfrm>
          <a:off x="133350" y="1209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3" name="Retângulo 2">
          <a:extLst>
            <a:ext uri="{FF2B5EF4-FFF2-40B4-BE49-F238E27FC236}">
              <a16:creationId xmlns:a16="http://schemas.microsoft.com/office/drawing/2014/main" id="{555F1FD1-D3BF-4EE5-8D73-8F3EB02937E6}"/>
            </a:ext>
          </a:extLst>
        </xdr:cNvPr>
        <xdr:cNvSpPr/>
      </xdr:nvSpPr>
      <xdr:spPr>
        <a:xfrm>
          <a:off x="133350" y="1466850"/>
          <a:ext cx="22193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4" name="Retângulo 3">
          <a:hlinkClick xmlns:r="http://schemas.openxmlformats.org/officeDocument/2006/relationships" r:id="rId2"/>
          <a:extLst>
            <a:ext uri="{FF2B5EF4-FFF2-40B4-BE49-F238E27FC236}">
              <a16:creationId xmlns:a16="http://schemas.microsoft.com/office/drawing/2014/main" id="{ABDCD61D-EB2A-43E1-96D8-4204E3958FB2}"/>
            </a:ext>
          </a:extLst>
        </xdr:cNvPr>
        <xdr:cNvSpPr/>
      </xdr:nvSpPr>
      <xdr:spPr>
        <a:xfrm>
          <a:off x="133350" y="17145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33350" y="1971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33350" y="2228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33350" y="248602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8" name="Retângulo 7">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33350" y="27432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33350" y="30003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33350" y="32575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28984" y="3452813"/>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4</xdr:col>
      <xdr:colOff>19843</xdr:colOff>
      <xdr:row>23</xdr:row>
      <xdr:rowOff>47625</xdr:rowOff>
    </xdr:to>
    <xdr:grpSp>
      <xdr:nvGrpSpPr>
        <xdr:cNvPr id="12" name="Agrupar 11">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753393" cy="447675"/>
          <a:chOff x="209550" y="3868843"/>
          <a:chExt cx="1495425"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247775"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17</xdr:row>
      <xdr:rowOff>123825</xdr:rowOff>
    </xdr:from>
    <xdr:to>
      <xdr:col>20</xdr:col>
      <xdr:colOff>600074</xdr:colOff>
      <xdr:row>30</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95250</xdr:colOff>
      <xdr:row>1</xdr:row>
      <xdr:rowOff>9525</xdr:rowOff>
    </xdr:from>
    <xdr:to>
      <xdr:col>4</xdr:col>
      <xdr:colOff>244194</xdr:colOff>
      <xdr:row>7</xdr:row>
      <xdr:rowOff>0</xdr:rowOff>
    </xdr:to>
    <xdr:pic>
      <xdr:nvPicPr>
        <xdr:cNvPr id="15" name="Imagem 14">
          <a:extLst>
            <a:ext uri="{FF2B5EF4-FFF2-40B4-BE49-F238E27FC236}">
              <a16:creationId xmlns:a16="http://schemas.microsoft.com/office/drawing/2014/main" id="{9CF0C6EC-1D89-4EAB-913B-E6044BD79E86}"/>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95250" y="114300"/>
          <a:ext cx="2092044" cy="1104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1D967CD5-0975-45C4-A95A-CD7F43467AE1}"/>
            </a:ext>
          </a:extLst>
        </xdr:cNvPr>
        <xdr:cNvSpPr/>
      </xdr:nvSpPr>
      <xdr:spPr>
        <a:xfrm>
          <a:off x="133350" y="1209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3" name="Retângulo 2">
          <a:hlinkClick xmlns:r="http://schemas.openxmlformats.org/officeDocument/2006/relationships" r:id="rId2"/>
          <a:extLst>
            <a:ext uri="{FF2B5EF4-FFF2-40B4-BE49-F238E27FC236}">
              <a16:creationId xmlns:a16="http://schemas.microsoft.com/office/drawing/2014/main" id="{555F1FD1-D3BF-4EE5-8D73-8F3EB02937E6}"/>
            </a:ext>
          </a:extLst>
        </xdr:cNvPr>
        <xdr:cNvSpPr/>
      </xdr:nvSpPr>
      <xdr:spPr>
        <a:xfrm>
          <a:off x="133350" y="1466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4" name="Retângulo 3">
          <a:extLst>
            <a:ext uri="{FF2B5EF4-FFF2-40B4-BE49-F238E27FC236}">
              <a16:creationId xmlns:a16="http://schemas.microsoft.com/office/drawing/2014/main" id="{ABDCD61D-EB2A-43E1-96D8-4204E3958FB2}"/>
            </a:ext>
          </a:extLst>
        </xdr:cNvPr>
        <xdr:cNvSpPr/>
      </xdr:nvSpPr>
      <xdr:spPr>
        <a:xfrm>
          <a:off x="133350" y="1714500"/>
          <a:ext cx="22193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33350" y="1971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33350" y="2228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33350" y="248602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8" name="Retângulo 7">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33350" y="27432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33350" y="30003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33350" y="32575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33350" y="3495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3</xdr:col>
      <xdr:colOff>664765</xdr:colOff>
      <xdr:row>23</xdr:row>
      <xdr:rowOff>47625</xdr:rowOff>
    </xdr:to>
    <xdr:grpSp>
      <xdr:nvGrpSpPr>
        <xdr:cNvPr id="12" name="Agrupar 11">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731565" cy="447675"/>
          <a:chOff x="209550" y="3868843"/>
          <a:chExt cx="1761975"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199" y="3868843"/>
            <a:ext cx="1514326"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11</xdr:row>
      <xdr:rowOff>123825</xdr:rowOff>
    </xdr:from>
    <xdr:to>
      <xdr:col>20</xdr:col>
      <xdr:colOff>600074</xdr:colOff>
      <xdr:row>24</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9525</xdr:colOff>
      <xdr:row>1</xdr:row>
      <xdr:rowOff>0</xdr:rowOff>
    </xdr:from>
    <xdr:to>
      <xdr:col>4</xdr:col>
      <xdr:colOff>272769</xdr:colOff>
      <xdr:row>6</xdr:row>
      <xdr:rowOff>180975</xdr:rowOff>
    </xdr:to>
    <xdr:pic>
      <xdr:nvPicPr>
        <xdr:cNvPr id="15" name="Imagem 14">
          <a:extLst>
            <a:ext uri="{FF2B5EF4-FFF2-40B4-BE49-F238E27FC236}">
              <a16:creationId xmlns:a16="http://schemas.microsoft.com/office/drawing/2014/main" id="{DDC670C5-8974-402C-993B-93603C83645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04775"/>
          <a:ext cx="2092044"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49609</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83159" cy="447675"/>
          <a:chOff x="209550" y="3868843"/>
          <a:chExt cx="1825097"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77447"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17</xdr:row>
      <xdr:rowOff>123825</xdr:rowOff>
    </xdr:from>
    <xdr:to>
      <xdr:col>20</xdr:col>
      <xdr:colOff>600074</xdr:colOff>
      <xdr:row>30</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119062</xdr:colOff>
      <xdr:row>7</xdr:row>
      <xdr:rowOff>9921</xdr:rowOff>
    </xdr:from>
    <xdr:to>
      <xdr:col>4</xdr:col>
      <xdr:colOff>152003</xdr:colOff>
      <xdr:row>8</xdr:row>
      <xdr:rowOff>9921</xdr:rowOff>
    </xdr:to>
    <xdr:sp macro="" textlink="">
      <xdr:nvSpPr>
        <xdr:cNvPr id="27" name="Retângulo 2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9062" y="121046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119062</xdr:colOff>
      <xdr:row>8</xdr:row>
      <xdr:rowOff>76596</xdr:rowOff>
    </xdr:from>
    <xdr:to>
      <xdr:col>4</xdr:col>
      <xdr:colOff>152003</xdr:colOff>
      <xdr:row>9</xdr:row>
      <xdr:rowOff>76596</xdr:rowOff>
    </xdr:to>
    <xdr:sp macro="" textlink="">
      <xdr:nvSpPr>
        <xdr:cNvPr id="28" name="Retângulo 2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9062" y="146565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119062</xdr:colOff>
      <xdr:row>9</xdr:row>
      <xdr:rowOff>133746</xdr:rowOff>
    </xdr:from>
    <xdr:to>
      <xdr:col>4</xdr:col>
      <xdr:colOff>152003</xdr:colOff>
      <xdr:row>10</xdr:row>
      <xdr:rowOff>133746</xdr:rowOff>
    </xdr:to>
    <xdr:sp macro="" textlink="">
      <xdr:nvSpPr>
        <xdr:cNvPr id="29" name="Retângulo 2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9062" y="171132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119062</xdr:colOff>
      <xdr:row>11</xdr:row>
      <xdr:rowOff>9921</xdr:rowOff>
    </xdr:from>
    <xdr:to>
      <xdr:col>4</xdr:col>
      <xdr:colOff>152003</xdr:colOff>
      <xdr:row>11</xdr:row>
      <xdr:rowOff>188515</xdr:rowOff>
    </xdr:to>
    <xdr:sp macro="" textlink="">
      <xdr:nvSpPr>
        <xdr:cNvPr id="30" name="Retângulo 2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9062" y="1964530"/>
          <a:ext cx="2215754" cy="178594"/>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119062</xdr:colOff>
      <xdr:row>12</xdr:row>
      <xdr:rowOff>66674</xdr:rowOff>
    </xdr:from>
    <xdr:to>
      <xdr:col>4</xdr:col>
      <xdr:colOff>152003</xdr:colOff>
      <xdr:row>13</xdr:row>
      <xdr:rowOff>66674</xdr:rowOff>
    </xdr:to>
    <xdr:sp macro="" textlink="">
      <xdr:nvSpPr>
        <xdr:cNvPr id="31" name="Retângulo 3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19062" y="220979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119062</xdr:colOff>
      <xdr:row>13</xdr:row>
      <xdr:rowOff>133349</xdr:rowOff>
    </xdr:from>
    <xdr:to>
      <xdr:col>4</xdr:col>
      <xdr:colOff>152003</xdr:colOff>
      <xdr:row>14</xdr:row>
      <xdr:rowOff>133349</xdr:rowOff>
    </xdr:to>
    <xdr:sp macro="" textlink="">
      <xdr:nvSpPr>
        <xdr:cNvPr id="32" name="Retângulo 3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119062" y="2464990"/>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119062</xdr:colOff>
      <xdr:row>15</xdr:row>
      <xdr:rowOff>9524</xdr:rowOff>
    </xdr:from>
    <xdr:to>
      <xdr:col>4</xdr:col>
      <xdr:colOff>152003</xdr:colOff>
      <xdr:row>16</xdr:row>
      <xdr:rowOff>9524</xdr:rowOff>
    </xdr:to>
    <xdr:sp macro="" textlink="">
      <xdr:nvSpPr>
        <xdr:cNvPr id="33" name="Retângulo 3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119062" y="271819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119062</xdr:colOff>
      <xdr:row>16</xdr:row>
      <xdr:rowOff>76199</xdr:rowOff>
    </xdr:from>
    <xdr:to>
      <xdr:col>4</xdr:col>
      <xdr:colOff>152003</xdr:colOff>
      <xdr:row>17</xdr:row>
      <xdr:rowOff>76199</xdr:rowOff>
    </xdr:to>
    <xdr:sp macro="" textlink="">
      <xdr:nvSpPr>
        <xdr:cNvPr id="34" name="Retângulo 33">
          <a:hlinkClick xmlns:r="http://schemas.openxmlformats.org/officeDocument/2006/relationships" r:id="rId12"/>
          <a:extLst>
            <a:ext uri="{FF2B5EF4-FFF2-40B4-BE49-F238E27FC236}">
              <a16:creationId xmlns:a16="http://schemas.microsoft.com/office/drawing/2014/main" id="{6D52809E-8AE3-4111-A9B7-8377AA8398FF}"/>
            </a:ext>
          </a:extLst>
        </xdr:cNvPr>
        <xdr:cNvSpPr/>
      </xdr:nvSpPr>
      <xdr:spPr>
        <a:xfrm>
          <a:off x="119062" y="297338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119062</xdr:colOff>
      <xdr:row>17</xdr:row>
      <xdr:rowOff>142874</xdr:rowOff>
    </xdr:from>
    <xdr:to>
      <xdr:col>4</xdr:col>
      <xdr:colOff>152003</xdr:colOff>
      <xdr:row>18</xdr:row>
      <xdr:rowOff>152796</xdr:rowOff>
    </xdr:to>
    <xdr:sp macro="" textlink="">
      <xdr:nvSpPr>
        <xdr:cNvPr id="35" name="Retângulo 34">
          <a:hlinkClick xmlns:r="http://schemas.openxmlformats.org/officeDocument/2006/relationships" r:id="rId13"/>
          <a:extLst>
            <a:ext uri="{FF2B5EF4-FFF2-40B4-BE49-F238E27FC236}">
              <a16:creationId xmlns:a16="http://schemas.microsoft.com/office/drawing/2014/main" id="{B13D480F-2B0D-4FA9-BDF6-98DBE245591E}"/>
            </a:ext>
          </a:extLst>
        </xdr:cNvPr>
        <xdr:cNvSpPr/>
      </xdr:nvSpPr>
      <xdr:spPr>
        <a:xfrm>
          <a:off x="119062" y="3228577"/>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119062</xdr:colOff>
      <xdr:row>19</xdr:row>
      <xdr:rowOff>9921</xdr:rowOff>
    </xdr:from>
    <xdr:to>
      <xdr:col>4</xdr:col>
      <xdr:colOff>152003</xdr:colOff>
      <xdr:row>20</xdr:row>
      <xdr:rowOff>9921</xdr:rowOff>
    </xdr:to>
    <xdr:sp macro="" textlink="">
      <xdr:nvSpPr>
        <xdr:cNvPr id="36" name="Retângulo 35">
          <a:hlinkClick xmlns:r="http://schemas.openxmlformats.org/officeDocument/2006/relationships" r:id="rId14"/>
          <a:extLst>
            <a:ext uri="{FF2B5EF4-FFF2-40B4-BE49-F238E27FC236}">
              <a16:creationId xmlns:a16="http://schemas.microsoft.com/office/drawing/2014/main" id="{34C98627-0295-4848-8728-8B4DCEEC78FE}"/>
            </a:ext>
          </a:extLst>
        </xdr:cNvPr>
        <xdr:cNvSpPr/>
      </xdr:nvSpPr>
      <xdr:spPr>
        <a:xfrm>
          <a:off x="119062" y="346273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19050</xdr:rowOff>
    </xdr:from>
    <xdr:to>
      <xdr:col>4</xdr:col>
      <xdr:colOff>310869</xdr:colOff>
      <xdr:row>7</xdr:row>
      <xdr:rowOff>9525</xdr:rowOff>
    </xdr:to>
    <xdr:pic>
      <xdr:nvPicPr>
        <xdr:cNvPr id="2" name="Imagem 1">
          <a:extLst>
            <a:ext uri="{FF2B5EF4-FFF2-40B4-BE49-F238E27FC236}">
              <a16:creationId xmlns:a16="http://schemas.microsoft.com/office/drawing/2014/main" id="{5DACA386-AEBC-4B27-ABD5-32180B42B7A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8365" b="34296"/>
        <a:stretch/>
      </xdr:blipFill>
      <xdr:spPr>
        <a:xfrm>
          <a:off x="161925" y="123825"/>
          <a:ext cx="2092044" cy="1104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114301</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847851" cy="447675"/>
          <a:chOff x="209550" y="3868843"/>
          <a:chExt cx="1884409"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636759"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16</xdr:row>
      <xdr:rowOff>123825</xdr:rowOff>
    </xdr:from>
    <xdr:to>
      <xdr:col>20</xdr:col>
      <xdr:colOff>600074</xdr:colOff>
      <xdr:row>29</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7</xdr:row>
      <xdr:rowOff>9525</xdr:rowOff>
    </xdr:from>
    <xdr:to>
      <xdr:col>4</xdr:col>
      <xdr:colOff>139304</xdr:colOff>
      <xdr:row>8</xdr:row>
      <xdr:rowOff>7541</xdr:rowOff>
    </xdr:to>
    <xdr:sp macro="" textlink="">
      <xdr:nvSpPr>
        <xdr:cNvPr id="27" name="Retângulo 2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4300" y="121920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114300</xdr:colOff>
      <xdr:row>8</xdr:row>
      <xdr:rowOff>74216</xdr:rowOff>
    </xdr:from>
    <xdr:to>
      <xdr:col>4</xdr:col>
      <xdr:colOff>139304</xdr:colOff>
      <xdr:row>9</xdr:row>
      <xdr:rowOff>72231</xdr:rowOff>
    </xdr:to>
    <xdr:sp macro="" textlink="">
      <xdr:nvSpPr>
        <xdr:cNvPr id="28" name="Retângulo 2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4300" y="14743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114300</xdr:colOff>
      <xdr:row>9</xdr:row>
      <xdr:rowOff>129381</xdr:rowOff>
    </xdr:from>
    <xdr:to>
      <xdr:col>4</xdr:col>
      <xdr:colOff>139304</xdr:colOff>
      <xdr:row>10</xdr:row>
      <xdr:rowOff>127397</xdr:rowOff>
    </xdr:to>
    <xdr:sp macro="" textlink="">
      <xdr:nvSpPr>
        <xdr:cNvPr id="29" name="Retângulo 2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4300" y="1720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114300</xdr:colOff>
      <xdr:row>11</xdr:row>
      <xdr:rowOff>1587</xdr:rowOff>
    </xdr:from>
    <xdr:to>
      <xdr:col>4</xdr:col>
      <xdr:colOff>139304</xdr:colOff>
      <xdr:row>11</xdr:row>
      <xdr:rowOff>180181</xdr:rowOff>
    </xdr:to>
    <xdr:sp macro="" textlink="">
      <xdr:nvSpPr>
        <xdr:cNvPr id="30" name="Retângulo 2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4300" y="197326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114300</xdr:colOff>
      <xdr:row>12</xdr:row>
      <xdr:rowOff>56356</xdr:rowOff>
    </xdr:from>
    <xdr:to>
      <xdr:col>4</xdr:col>
      <xdr:colOff>139304</xdr:colOff>
      <xdr:row>13</xdr:row>
      <xdr:rowOff>54372</xdr:rowOff>
    </xdr:to>
    <xdr:sp macro="" textlink="">
      <xdr:nvSpPr>
        <xdr:cNvPr id="31" name="Retângulo 30">
          <a:extLst>
            <a:ext uri="{FF2B5EF4-FFF2-40B4-BE49-F238E27FC236}">
              <a16:creationId xmlns:a16="http://schemas.microsoft.com/office/drawing/2014/main" id="{2D19ABEF-9A00-48C5-947B-E7A67EF756A0}"/>
            </a:ext>
          </a:extLst>
        </xdr:cNvPr>
        <xdr:cNvSpPr/>
      </xdr:nvSpPr>
      <xdr:spPr>
        <a:xfrm>
          <a:off x="114300" y="2218531"/>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114300</xdr:colOff>
      <xdr:row>13</xdr:row>
      <xdr:rowOff>121047</xdr:rowOff>
    </xdr:from>
    <xdr:to>
      <xdr:col>4</xdr:col>
      <xdr:colOff>139304</xdr:colOff>
      <xdr:row>14</xdr:row>
      <xdr:rowOff>128587</xdr:rowOff>
    </xdr:to>
    <xdr:sp macro="" textlink="">
      <xdr:nvSpPr>
        <xdr:cNvPr id="32" name="Retângulo 31">
          <a:hlinkClick xmlns:r="http://schemas.openxmlformats.org/officeDocument/2006/relationships" r:id="rId9"/>
          <a:extLst>
            <a:ext uri="{FF2B5EF4-FFF2-40B4-BE49-F238E27FC236}">
              <a16:creationId xmlns:a16="http://schemas.microsoft.com/office/drawing/2014/main" id="{2D9D962D-61C8-476D-A4F1-EDC8E1739D74}"/>
            </a:ext>
          </a:extLst>
        </xdr:cNvPr>
        <xdr:cNvSpPr/>
      </xdr:nvSpPr>
      <xdr:spPr>
        <a:xfrm>
          <a:off x="114300" y="2473722"/>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114300</xdr:colOff>
      <xdr:row>15</xdr:row>
      <xdr:rowOff>2778</xdr:rowOff>
    </xdr:from>
    <xdr:to>
      <xdr:col>4</xdr:col>
      <xdr:colOff>139304</xdr:colOff>
      <xdr:row>16</xdr:row>
      <xdr:rowOff>794</xdr:rowOff>
    </xdr:to>
    <xdr:sp macro="" textlink="">
      <xdr:nvSpPr>
        <xdr:cNvPr id="33" name="Retângulo 3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14300" y="272692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114300</xdr:colOff>
      <xdr:row>16</xdr:row>
      <xdr:rowOff>67469</xdr:rowOff>
    </xdr:from>
    <xdr:to>
      <xdr:col>4</xdr:col>
      <xdr:colOff>139304</xdr:colOff>
      <xdr:row>17</xdr:row>
      <xdr:rowOff>75009</xdr:rowOff>
    </xdr:to>
    <xdr:sp macro="" textlink="">
      <xdr:nvSpPr>
        <xdr:cNvPr id="34" name="Retângulo 3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14300" y="298211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114300</xdr:colOff>
      <xdr:row>17</xdr:row>
      <xdr:rowOff>141684</xdr:rowOff>
    </xdr:from>
    <xdr:to>
      <xdr:col>4</xdr:col>
      <xdr:colOff>139304</xdr:colOff>
      <xdr:row>18</xdr:row>
      <xdr:rowOff>139700</xdr:rowOff>
    </xdr:to>
    <xdr:sp macro="" textlink="">
      <xdr:nvSpPr>
        <xdr:cNvPr id="35" name="Retângulo 3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14300" y="323730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114300</xdr:colOff>
      <xdr:row>18</xdr:row>
      <xdr:rowOff>185341</xdr:rowOff>
    </xdr:from>
    <xdr:to>
      <xdr:col>4</xdr:col>
      <xdr:colOff>139304</xdr:colOff>
      <xdr:row>19</xdr:row>
      <xdr:rowOff>183356</xdr:rowOff>
    </xdr:to>
    <xdr:sp macro="" textlink="">
      <xdr:nvSpPr>
        <xdr:cNvPr id="36" name="Retângulo 3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14300" y="34714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9525</xdr:rowOff>
    </xdr:from>
    <xdr:to>
      <xdr:col>4</xdr:col>
      <xdr:colOff>310869</xdr:colOff>
      <xdr:row>7</xdr:row>
      <xdr:rowOff>0</xdr:rowOff>
    </xdr:to>
    <xdr:pic>
      <xdr:nvPicPr>
        <xdr:cNvPr id="2" name="Imagem 1">
          <a:extLst>
            <a:ext uri="{FF2B5EF4-FFF2-40B4-BE49-F238E27FC236}">
              <a16:creationId xmlns:a16="http://schemas.microsoft.com/office/drawing/2014/main" id="{C2C361C6-7C28-45ED-9F64-DE6C38321D3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61925" y="114300"/>
          <a:ext cx="2092044" cy="110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15</xdr:row>
      <xdr:rowOff>123825</xdr:rowOff>
    </xdr:from>
    <xdr:to>
      <xdr:col>20</xdr:col>
      <xdr:colOff>600074</xdr:colOff>
      <xdr:row>28</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7</xdr:row>
      <xdr:rowOff>28575</xdr:rowOff>
    </xdr:from>
    <xdr:to>
      <xdr:col>4</xdr:col>
      <xdr:colOff>139304</xdr:colOff>
      <xdr:row>8</xdr:row>
      <xdr:rowOff>26591</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4300" y="123825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114300</xdr:colOff>
      <xdr:row>8</xdr:row>
      <xdr:rowOff>93266</xdr:rowOff>
    </xdr:from>
    <xdr:to>
      <xdr:col>4</xdr:col>
      <xdr:colOff>139304</xdr:colOff>
      <xdr:row>9</xdr:row>
      <xdr:rowOff>91281</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4300" y="149344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114300</xdr:colOff>
      <xdr:row>9</xdr:row>
      <xdr:rowOff>148431</xdr:rowOff>
    </xdr:from>
    <xdr:to>
      <xdr:col>4</xdr:col>
      <xdr:colOff>139304</xdr:colOff>
      <xdr:row>10</xdr:row>
      <xdr:rowOff>146447</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4300" y="173910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114300</xdr:colOff>
      <xdr:row>11</xdr:row>
      <xdr:rowOff>20637</xdr:rowOff>
    </xdr:from>
    <xdr:to>
      <xdr:col>4</xdr:col>
      <xdr:colOff>139304</xdr:colOff>
      <xdr:row>12</xdr:row>
      <xdr:rowOff>8731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4300" y="199231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114300</xdr:colOff>
      <xdr:row>12</xdr:row>
      <xdr:rowOff>75406</xdr:rowOff>
    </xdr:from>
    <xdr:to>
      <xdr:col>4</xdr:col>
      <xdr:colOff>139304</xdr:colOff>
      <xdr:row>13</xdr:row>
      <xdr:rowOff>73422</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14300" y="2237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114300</xdr:colOff>
      <xdr:row>13</xdr:row>
      <xdr:rowOff>140097</xdr:rowOff>
    </xdr:from>
    <xdr:to>
      <xdr:col>4</xdr:col>
      <xdr:colOff>139304</xdr:colOff>
      <xdr:row>14</xdr:row>
      <xdr:rowOff>147637</xdr:rowOff>
    </xdr:to>
    <xdr:sp macro="" textlink="">
      <xdr:nvSpPr>
        <xdr:cNvPr id="22" name="Retângulo 21">
          <a:extLst>
            <a:ext uri="{FF2B5EF4-FFF2-40B4-BE49-F238E27FC236}">
              <a16:creationId xmlns:a16="http://schemas.microsoft.com/office/drawing/2014/main" id="{2D9D962D-61C8-476D-A4F1-EDC8E1739D74}"/>
            </a:ext>
          </a:extLst>
        </xdr:cNvPr>
        <xdr:cNvSpPr/>
      </xdr:nvSpPr>
      <xdr:spPr>
        <a:xfrm>
          <a:off x="114300" y="2492772"/>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114300</xdr:colOff>
      <xdr:row>15</xdr:row>
      <xdr:rowOff>21828</xdr:rowOff>
    </xdr:from>
    <xdr:to>
      <xdr:col>4</xdr:col>
      <xdr:colOff>139304</xdr:colOff>
      <xdr:row>16</xdr:row>
      <xdr:rowOff>29369</xdr:rowOff>
    </xdr:to>
    <xdr:sp macro="" textlink="">
      <xdr:nvSpPr>
        <xdr:cNvPr id="23" name="Retângulo 2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14300" y="274597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114300</xdr:colOff>
      <xdr:row>16</xdr:row>
      <xdr:rowOff>96044</xdr:rowOff>
    </xdr:from>
    <xdr:to>
      <xdr:col>4</xdr:col>
      <xdr:colOff>139304</xdr:colOff>
      <xdr:row>17</xdr:row>
      <xdr:rowOff>94059</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14300" y="300116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114300</xdr:colOff>
      <xdr:row>17</xdr:row>
      <xdr:rowOff>160734</xdr:rowOff>
    </xdr:from>
    <xdr:to>
      <xdr:col>4</xdr:col>
      <xdr:colOff>139304</xdr:colOff>
      <xdr:row>18</xdr:row>
      <xdr:rowOff>158750</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14300" y="325635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114300</xdr:colOff>
      <xdr:row>19</xdr:row>
      <xdr:rowOff>13891</xdr:rowOff>
    </xdr:from>
    <xdr:to>
      <xdr:col>4</xdr:col>
      <xdr:colOff>139304</xdr:colOff>
      <xdr:row>20</xdr:row>
      <xdr:rowOff>11906</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14300" y="34905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9525</xdr:colOff>
      <xdr:row>1</xdr:row>
      <xdr:rowOff>19050</xdr:rowOff>
    </xdr:from>
    <xdr:to>
      <xdr:col>4</xdr:col>
      <xdr:colOff>272769</xdr:colOff>
      <xdr:row>7</xdr:row>
      <xdr:rowOff>9525</xdr:rowOff>
    </xdr:to>
    <xdr:pic>
      <xdr:nvPicPr>
        <xdr:cNvPr id="2" name="Imagem 1">
          <a:extLst>
            <a:ext uri="{FF2B5EF4-FFF2-40B4-BE49-F238E27FC236}">
              <a16:creationId xmlns:a16="http://schemas.microsoft.com/office/drawing/2014/main" id="{4208F496-00F0-4B98-A942-7F9AAE0AB443}"/>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23825"/>
          <a:ext cx="2092044" cy="1104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57150</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90700" cy="447675"/>
          <a:chOff x="209550" y="3868843"/>
          <a:chExt cx="183254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8489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15</xdr:row>
      <xdr:rowOff>123825</xdr:rowOff>
    </xdr:from>
    <xdr:to>
      <xdr:col>20</xdr:col>
      <xdr:colOff>600074</xdr:colOff>
      <xdr:row>28</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7</xdr:row>
      <xdr:rowOff>38100</xdr:rowOff>
    </xdr:from>
    <xdr:to>
      <xdr:col>4</xdr:col>
      <xdr:colOff>120254</xdr:colOff>
      <xdr:row>8</xdr:row>
      <xdr:rowOff>36116</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95250" y="124777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95250</xdr:colOff>
      <xdr:row>8</xdr:row>
      <xdr:rowOff>102791</xdr:rowOff>
    </xdr:from>
    <xdr:to>
      <xdr:col>4</xdr:col>
      <xdr:colOff>120254</xdr:colOff>
      <xdr:row>9</xdr:row>
      <xdr:rowOff>100806</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95250" y="15029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95250</xdr:colOff>
      <xdr:row>9</xdr:row>
      <xdr:rowOff>157956</xdr:rowOff>
    </xdr:from>
    <xdr:to>
      <xdr:col>4</xdr:col>
      <xdr:colOff>120254</xdr:colOff>
      <xdr:row>10</xdr:row>
      <xdr:rowOff>155972</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95250" y="174863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95250</xdr:colOff>
      <xdr:row>11</xdr:row>
      <xdr:rowOff>30162</xdr:rowOff>
    </xdr:from>
    <xdr:to>
      <xdr:col>4</xdr:col>
      <xdr:colOff>120254</xdr:colOff>
      <xdr:row>12</xdr:row>
      <xdr:rowOff>18256</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95250" y="200183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95250</xdr:colOff>
      <xdr:row>12</xdr:row>
      <xdr:rowOff>84931</xdr:rowOff>
    </xdr:from>
    <xdr:to>
      <xdr:col>4</xdr:col>
      <xdr:colOff>120254</xdr:colOff>
      <xdr:row>13</xdr:row>
      <xdr:rowOff>82947</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95250" y="224710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95250</xdr:colOff>
      <xdr:row>13</xdr:row>
      <xdr:rowOff>149622</xdr:rowOff>
    </xdr:from>
    <xdr:to>
      <xdr:col>4</xdr:col>
      <xdr:colOff>120254</xdr:colOff>
      <xdr:row>14</xdr:row>
      <xdr:rowOff>157162</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95250" y="250229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95250</xdr:colOff>
      <xdr:row>15</xdr:row>
      <xdr:rowOff>31353</xdr:rowOff>
    </xdr:from>
    <xdr:to>
      <xdr:col>4</xdr:col>
      <xdr:colOff>120254</xdr:colOff>
      <xdr:row>16</xdr:row>
      <xdr:rowOff>38894</xdr:rowOff>
    </xdr:to>
    <xdr:sp macro="" textlink="">
      <xdr:nvSpPr>
        <xdr:cNvPr id="23" name="Retângulo 22">
          <a:extLst>
            <a:ext uri="{FF2B5EF4-FFF2-40B4-BE49-F238E27FC236}">
              <a16:creationId xmlns:a16="http://schemas.microsoft.com/office/drawing/2014/main" id="{F3B2DD94-4369-404A-AEBE-48BA5067713B}"/>
            </a:ext>
          </a:extLst>
        </xdr:cNvPr>
        <xdr:cNvSpPr/>
      </xdr:nvSpPr>
      <xdr:spPr>
        <a:xfrm>
          <a:off x="95250" y="2755503"/>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95250</xdr:colOff>
      <xdr:row>16</xdr:row>
      <xdr:rowOff>105569</xdr:rowOff>
    </xdr:from>
    <xdr:to>
      <xdr:col>4</xdr:col>
      <xdr:colOff>120254</xdr:colOff>
      <xdr:row>17</xdr:row>
      <xdr:rowOff>103584</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95250" y="301069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95250</xdr:colOff>
      <xdr:row>17</xdr:row>
      <xdr:rowOff>170259</xdr:rowOff>
    </xdr:from>
    <xdr:to>
      <xdr:col>4</xdr:col>
      <xdr:colOff>120254</xdr:colOff>
      <xdr:row>18</xdr:row>
      <xdr:rowOff>168275</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95250" y="326588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95250</xdr:colOff>
      <xdr:row>19</xdr:row>
      <xdr:rowOff>23416</xdr:rowOff>
    </xdr:from>
    <xdr:to>
      <xdr:col>4</xdr:col>
      <xdr:colOff>120254</xdr:colOff>
      <xdr:row>20</xdr:row>
      <xdr:rowOff>21431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95250" y="350004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57150</xdr:colOff>
      <xdr:row>1</xdr:row>
      <xdr:rowOff>28575</xdr:rowOff>
    </xdr:from>
    <xdr:to>
      <xdr:col>4</xdr:col>
      <xdr:colOff>320394</xdr:colOff>
      <xdr:row>7</xdr:row>
      <xdr:rowOff>19050</xdr:rowOff>
    </xdr:to>
    <xdr:pic>
      <xdr:nvPicPr>
        <xdr:cNvPr id="2" name="Imagem 1">
          <a:extLst>
            <a:ext uri="{FF2B5EF4-FFF2-40B4-BE49-F238E27FC236}">
              <a16:creationId xmlns:a16="http://schemas.microsoft.com/office/drawing/2014/main" id="{E9744689-B6B4-482C-9530-816EFDB54F7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71450" y="133350"/>
          <a:ext cx="2092044" cy="1104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1</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33551" cy="447675"/>
          <a:chOff x="209550" y="3868843"/>
          <a:chExt cx="1780680"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33030"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13</xdr:row>
      <xdr:rowOff>123825</xdr:rowOff>
    </xdr:from>
    <xdr:to>
      <xdr:col>20</xdr:col>
      <xdr:colOff>600074</xdr:colOff>
      <xdr:row>26</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xdr:row>
      <xdr:rowOff>19050</xdr:rowOff>
    </xdr:from>
    <xdr:to>
      <xdr:col>4</xdr:col>
      <xdr:colOff>158354</xdr:colOff>
      <xdr:row>8</xdr:row>
      <xdr:rowOff>17066</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33350" y="122872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83741</xdr:rowOff>
    </xdr:from>
    <xdr:to>
      <xdr:col>4</xdr:col>
      <xdr:colOff>158354</xdr:colOff>
      <xdr:row>9</xdr:row>
      <xdr:rowOff>81756</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33350" y="14839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138906</xdr:rowOff>
    </xdr:from>
    <xdr:to>
      <xdr:col>4</xdr:col>
      <xdr:colOff>158354</xdr:colOff>
      <xdr:row>10</xdr:row>
      <xdr:rowOff>136922</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33350" y="1729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20637</xdr:rowOff>
    </xdr:from>
    <xdr:to>
      <xdr:col>4</xdr:col>
      <xdr:colOff>158354</xdr:colOff>
      <xdr:row>12</xdr:row>
      <xdr:rowOff>8731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33350" y="198278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75406</xdr:rowOff>
    </xdr:from>
    <xdr:to>
      <xdr:col>4</xdr:col>
      <xdr:colOff>158354</xdr:colOff>
      <xdr:row>13</xdr:row>
      <xdr:rowOff>73422</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33350" y="2228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140097</xdr:rowOff>
    </xdr:from>
    <xdr:to>
      <xdr:col>4</xdr:col>
      <xdr:colOff>158354</xdr:colOff>
      <xdr:row>14</xdr:row>
      <xdr:rowOff>147637</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133350" y="248324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21828</xdr:rowOff>
    </xdr:from>
    <xdr:to>
      <xdr:col>4</xdr:col>
      <xdr:colOff>158354</xdr:colOff>
      <xdr:row>16</xdr:row>
      <xdr:rowOff>19844</xdr:rowOff>
    </xdr:to>
    <xdr:sp macro="" textlink="">
      <xdr:nvSpPr>
        <xdr:cNvPr id="23" name="Retângulo 2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133350" y="2736453"/>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86519</xdr:rowOff>
    </xdr:from>
    <xdr:to>
      <xdr:col>4</xdr:col>
      <xdr:colOff>158354</xdr:colOff>
      <xdr:row>17</xdr:row>
      <xdr:rowOff>84534</xdr:rowOff>
    </xdr:to>
    <xdr:sp macro="" textlink="">
      <xdr:nvSpPr>
        <xdr:cNvPr id="24" name="Retângulo 23">
          <a:extLst>
            <a:ext uri="{FF2B5EF4-FFF2-40B4-BE49-F238E27FC236}">
              <a16:creationId xmlns:a16="http://schemas.microsoft.com/office/drawing/2014/main" id="{6D52809E-8AE3-4111-A9B7-8377AA8398FF}"/>
            </a:ext>
          </a:extLst>
        </xdr:cNvPr>
        <xdr:cNvSpPr/>
      </xdr:nvSpPr>
      <xdr:spPr>
        <a:xfrm>
          <a:off x="133350" y="2991644"/>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151209</xdr:rowOff>
    </xdr:from>
    <xdr:to>
      <xdr:col>4</xdr:col>
      <xdr:colOff>158354</xdr:colOff>
      <xdr:row>18</xdr:row>
      <xdr:rowOff>149225</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33350" y="324683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4366</xdr:rowOff>
    </xdr:from>
    <xdr:to>
      <xdr:col>4</xdr:col>
      <xdr:colOff>158354</xdr:colOff>
      <xdr:row>20</xdr:row>
      <xdr:rowOff>2381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33350" y="34809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9525</xdr:colOff>
      <xdr:row>1</xdr:row>
      <xdr:rowOff>19050</xdr:rowOff>
    </xdr:from>
    <xdr:to>
      <xdr:col>4</xdr:col>
      <xdr:colOff>272769</xdr:colOff>
      <xdr:row>7</xdr:row>
      <xdr:rowOff>9525</xdr:rowOff>
    </xdr:to>
    <xdr:pic>
      <xdr:nvPicPr>
        <xdr:cNvPr id="2" name="Imagem 1">
          <a:extLst>
            <a:ext uri="{FF2B5EF4-FFF2-40B4-BE49-F238E27FC236}">
              <a16:creationId xmlns:a16="http://schemas.microsoft.com/office/drawing/2014/main" id="{7530D98C-BA5B-4ACF-89ED-1B44073D57F9}"/>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23825"/>
          <a:ext cx="2092044" cy="1104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25"/>
  <sheetViews>
    <sheetView showGridLines="0" tabSelected="1" zoomScaleNormal="100" workbookViewId="0">
      <selection activeCell="D77" sqref="D77"/>
    </sheetView>
  </sheetViews>
  <sheetFormatPr defaultRowHeight="15" x14ac:dyDescent="0.25"/>
  <cols>
    <col min="1" max="1" width="1.7109375" style="66" customWidth="1"/>
  </cols>
  <sheetData>
    <row r="1" spans="6:20" s="66" customFormat="1" ht="8.25" customHeight="1" x14ac:dyDescent="0.25"/>
    <row r="3" spans="6:20" ht="18.75" customHeight="1" x14ac:dyDescent="0.25">
      <c r="F3" s="75" t="s">
        <v>91</v>
      </c>
      <c r="G3" s="75"/>
      <c r="H3" s="75"/>
      <c r="I3" s="75"/>
      <c r="J3" s="75"/>
      <c r="K3" s="75"/>
    </row>
    <row r="4" spans="6:20" ht="15" customHeight="1" x14ac:dyDescent="0.25">
      <c r="F4" s="75"/>
      <c r="G4" s="75"/>
      <c r="H4" s="75"/>
      <c r="I4" s="75"/>
      <c r="J4" s="75"/>
      <c r="K4" s="75"/>
      <c r="L4" s="1"/>
      <c r="M4" s="1"/>
      <c r="N4" s="1"/>
      <c r="O4" s="1"/>
      <c r="P4" s="1"/>
      <c r="Q4" s="1"/>
      <c r="R4" s="1"/>
      <c r="S4" s="1"/>
      <c r="T4" s="1"/>
    </row>
    <row r="5" spans="6:20" ht="15" customHeight="1" x14ac:dyDescent="0.25">
      <c r="F5" s="76" t="s">
        <v>96</v>
      </c>
      <c r="G5" s="76"/>
      <c r="H5" s="76"/>
      <c r="I5" s="76"/>
      <c r="J5" s="76"/>
      <c r="K5" s="76"/>
      <c r="L5" s="76"/>
      <c r="M5" s="76"/>
      <c r="N5" s="76"/>
      <c r="O5" s="76"/>
      <c r="P5" s="76"/>
      <c r="Q5" s="76"/>
      <c r="R5" s="76"/>
      <c r="S5" s="76"/>
      <c r="T5" s="76"/>
    </row>
    <row r="6" spans="6:20" x14ac:dyDescent="0.25">
      <c r="F6" s="76"/>
      <c r="G6" s="76"/>
      <c r="H6" s="76"/>
      <c r="I6" s="76"/>
      <c r="J6" s="76"/>
      <c r="K6" s="76"/>
      <c r="L6" s="76"/>
      <c r="M6" s="76"/>
      <c r="N6" s="76"/>
      <c r="O6" s="76"/>
      <c r="P6" s="76"/>
      <c r="Q6" s="76"/>
      <c r="R6" s="76"/>
      <c r="S6" s="76"/>
      <c r="T6" s="76"/>
    </row>
    <row r="7" spans="6:20" x14ac:dyDescent="0.25">
      <c r="F7" s="76"/>
      <c r="G7" s="76"/>
      <c r="H7" s="76"/>
      <c r="I7" s="76"/>
      <c r="J7" s="76"/>
      <c r="K7" s="76"/>
      <c r="L7" s="76"/>
      <c r="M7" s="76"/>
      <c r="N7" s="76"/>
      <c r="O7" s="76"/>
      <c r="P7" s="76"/>
      <c r="Q7" s="76"/>
      <c r="R7" s="76"/>
      <c r="S7" s="76"/>
      <c r="T7" s="76"/>
    </row>
    <row r="8" spans="6:20" x14ac:dyDescent="0.25">
      <c r="F8" s="76"/>
      <c r="G8" s="76"/>
      <c r="H8" s="76"/>
      <c r="I8" s="76"/>
      <c r="J8" s="76"/>
      <c r="K8" s="76"/>
      <c r="L8" s="76"/>
      <c r="M8" s="76"/>
      <c r="N8" s="76"/>
      <c r="O8" s="76"/>
      <c r="P8" s="76"/>
      <c r="Q8" s="76"/>
      <c r="R8" s="76"/>
      <c r="S8" s="76"/>
      <c r="T8" s="76"/>
    </row>
    <row r="9" spans="6:20" x14ac:dyDescent="0.25">
      <c r="F9" s="76"/>
      <c r="G9" s="76"/>
      <c r="H9" s="76"/>
      <c r="I9" s="76"/>
      <c r="J9" s="76"/>
      <c r="K9" s="76"/>
      <c r="L9" s="76"/>
      <c r="M9" s="76"/>
      <c r="N9" s="76"/>
      <c r="O9" s="76"/>
      <c r="P9" s="76"/>
      <c r="Q9" s="76"/>
      <c r="R9" s="76"/>
      <c r="S9" s="76"/>
      <c r="T9" s="76"/>
    </row>
    <row r="10" spans="6:20" x14ac:dyDescent="0.25">
      <c r="F10" s="76"/>
      <c r="G10" s="76"/>
      <c r="H10" s="76"/>
      <c r="I10" s="76"/>
      <c r="J10" s="76"/>
      <c r="K10" s="76"/>
      <c r="L10" s="76"/>
      <c r="M10" s="76"/>
      <c r="N10" s="76"/>
      <c r="O10" s="76"/>
      <c r="P10" s="76"/>
      <c r="Q10" s="76"/>
      <c r="R10" s="76"/>
      <c r="S10" s="76"/>
      <c r="T10" s="76"/>
    </row>
    <row r="11" spans="6:20" x14ac:dyDescent="0.25">
      <c r="F11" s="76"/>
      <c r="G11" s="76"/>
      <c r="H11" s="76"/>
      <c r="I11" s="76"/>
      <c r="J11" s="76"/>
      <c r="K11" s="76"/>
      <c r="L11" s="76"/>
      <c r="M11" s="76"/>
      <c r="N11" s="76"/>
      <c r="O11" s="76"/>
      <c r="P11" s="76"/>
      <c r="Q11" s="76"/>
      <c r="R11" s="76"/>
      <c r="S11" s="76"/>
      <c r="T11" s="76"/>
    </row>
    <row r="12" spans="6:20" x14ac:dyDescent="0.25">
      <c r="F12" s="76"/>
      <c r="G12" s="76"/>
      <c r="H12" s="76"/>
      <c r="I12" s="76"/>
      <c r="J12" s="76"/>
      <c r="K12" s="76"/>
      <c r="L12" s="76"/>
      <c r="M12" s="76"/>
      <c r="N12" s="76"/>
      <c r="O12" s="76"/>
      <c r="P12" s="76"/>
      <c r="Q12" s="76"/>
      <c r="R12" s="76"/>
      <c r="S12" s="76"/>
      <c r="T12" s="76"/>
    </row>
    <row r="13" spans="6:20" x14ac:dyDescent="0.25">
      <c r="F13" s="76"/>
      <c r="G13" s="76"/>
      <c r="H13" s="76"/>
      <c r="I13" s="76"/>
      <c r="J13" s="76"/>
      <c r="K13" s="76"/>
      <c r="L13" s="76"/>
      <c r="M13" s="76"/>
      <c r="N13" s="76"/>
      <c r="O13" s="76"/>
      <c r="P13" s="76"/>
      <c r="Q13" s="76"/>
      <c r="R13" s="76"/>
      <c r="S13" s="76"/>
      <c r="T13" s="76"/>
    </row>
    <row r="14" spans="6:20" x14ac:dyDescent="0.25">
      <c r="F14" s="76"/>
      <c r="G14" s="76"/>
      <c r="H14" s="76"/>
      <c r="I14" s="76"/>
      <c r="J14" s="76"/>
      <c r="K14" s="76"/>
      <c r="L14" s="76"/>
      <c r="M14" s="76"/>
      <c r="N14" s="76"/>
      <c r="O14" s="76"/>
      <c r="P14" s="76"/>
      <c r="Q14" s="76"/>
      <c r="R14" s="76"/>
      <c r="S14" s="76"/>
      <c r="T14" s="76"/>
    </row>
    <row r="15" spans="6:20" x14ac:dyDescent="0.25">
      <c r="F15" s="76"/>
      <c r="G15" s="76"/>
      <c r="H15" s="76"/>
      <c r="I15" s="76"/>
      <c r="J15" s="76"/>
      <c r="K15" s="76"/>
      <c r="L15" s="76"/>
      <c r="M15" s="76"/>
      <c r="N15" s="76"/>
      <c r="O15" s="76"/>
      <c r="P15" s="76"/>
      <c r="Q15" s="76"/>
      <c r="R15" s="76"/>
      <c r="S15" s="76"/>
      <c r="T15" s="76"/>
    </row>
    <row r="16" spans="6:20" x14ac:dyDescent="0.25">
      <c r="F16" s="76"/>
      <c r="G16" s="76"/>
      <c r="H16" s="76"/>
      <c r="I16" s="76"/>
      <c r="J16" s="76"/>
      <c r="K16" s="76"/>
      <c r="L16" s="76"/>
      <c r="M16" s="76"/>
      <c r="N16" s="76"/>
      <c r="O16" s="76"/>
      <c r="P16" s="76"/>
      <c r="Q16" s="76"/>
      <c r="R16" s="76"/>
      <c r="S16" s="76"/>
      <c r="T16" s="76"/>
    </row>
    <row r="17" spans="6:20" x14ac:dyDescent="0.25">
      <c r="F17" s="76"/>
      <c r="G17" s="76"/>
      <c r="H17" s="76"/>
      <c r="I17" s="76"/>
      <c r="J17" s="76"/>
      <c r="K17" s="76"/>
      <c r="L17" s="76"/>
      <c r="M17" s="76"/>
      <c r="N17" s="76"/>
      <c r="O17" s="76"/>
      <c r="P17" s="76"/>
      <c r="Q17" s="76"/>
      <c r="R17" s="76"/>
      <c r="S17" s="76"/>
      <c r="T17" s="76"/>
    </row>
    <row r="18" spans="6:20" x14ac:dyDescent="0.25">
      <c r="F18" s="76"/>
      <c r="G18" s="76"/>
      <c r="H18" s="76"/>
      <c r="I18" s="76"/>
      <c r="J18" s="76"/>
      <c r="K18" s="76"/>
      <c r="L18" s="76"/>
      <c r="M18" s="76"/>
      <c r="N18" s="76"/>
      <c r="O18" s="76"/>
      <c r="P18" s="76"/>
      <c r="Q18" s="76"/>
      <c r="R18" s="76"/>
      <c r="S18" s="76"/>
      <c r="T18" s="76"/>
    </row>
    <row r="19" spans="6:20" x14ac:dyDescent="0.25">
      <c r="F19" s="76"/>
      <c r="G19" s="76"/>
      <c r="H19" s="76"/>
      <c r="I19" s="76"/>
      <c r="J19" s="76"/>
      <c r="K19" s="76"/>
      <c r="L19" s="76"/>
      <c r="M19" s="76"/>
      <c r="N19" s="76"/>
      <c r="O19" s="76"/>
      <c r="P19" s="76"/>
      <c r="Q19" s="76"/>
      <c r="R19" s="76"/>
      <c r="S19" s="76"/>
      <c r="T19" s="76"/>
    </row>
    <row r="20" spans="6:20" x14ac:dyDescent="0.25">
      <c r="F20" s="76"/>
      <c r="G20" s="76"/>
      <c r="H20" s="76"/>
      <c r="I20" s="76"/>
      <c r="J20" s="76"/>
      <c r="K20" s="76"/>
      <c r="L20" s="76"/>
      <c r="M20" s="76"/>
      <c r="N20" s="76"/>
      <c r="O20" s="76"/>
      <c r="P20" s="76"/>
      <c r="Q20" s="76"/>
      <c r="R20" s="76"/>
      <c r="S20" s="76"/>
      <c r="T20" s="76"/>
    </row>
    <row r="21" spans="6:20" x14ac:dyDescent="0.25">
      <c r="F21" s="76"/>
      <c r="G21" s="76"/>
      <c r="H21" s="76"/>
      <c r="I21" s="76"/>
      <c r="J21" s="76"/>
      <c r="K21" s="76"/>
      <c r="L21" s="76"/>
      <c r="M21" s="76"/>
      <c r="N21" s="76"/>
      <c r="O21" s="76"/>
      <c r="P21" s="76"/>
      <c r="Q21" s="76"/>
      <c r="R21" s="76"/>
      <c r="S21" s="76"/>
      <c r="T21" s="76"/>
    </row>
    <row r="22" spans="6:20" x14ac:dyDescent="0.25">
      <c r="F22" s="76"/>
      <c r="G22" s="76"/>
      <c r="H22" s="76"/>
      <c r="I22" s="76"/>
      <c r="J22" s="76"/>
      <c r="K22" s="76"/>
      <c r="L22" s="76"/>
      <c r="M22" s="76"/>
      <c r="N22" s="76"/>
      <c r="O22" s="76"/>
      <c r="P22" s="76"/>
      <c r="Q22" s="76"/>
      <c r="R22" s="76"/>
      <c r="S22" s="76"/>
      <c r="T22" s="76"/>
    </row>
    <row r="23" spans="6:20" ht="15" customHeight="1" x14ac:dyDescent="0.25">
      <c r="G23" s="74"/>
      <c r="H23" s="74"/>
      <c r="I23" s="74"/>
      <c r="J23" s="74"/>
      <c r="K23" s="74"/>
      <c r="L23" s="74"/>
      <c r="M23" s="74"/>
      <c r="N23" s="17"/>
      <c r="O23" s="17"/>
      <c r="P23" s="17"/>
      <c r="Q23" s="17"/>
      <c r="R23" s="17"/>
      <c r="S23" s="17"/>
    </row>
    <row r="24" spans="6:20" ht="15" customHeight="1" x14ac:dyDescent="0.25">
      <c r="G24" s="74"/>
      <c r="H24" s="74"/>
      <c r="I24" s="74"/>
      <c r="J24" s="74"/>
      <c r="K24" s="74"/>
      <c r="L24" s="74"/>
      <c r="M24" s="74"/>
      <c r="N24" s="17"/>
      <c r="O24" s="17"/>
      <c r="P24" s="17"/>
      <c r="Q24" s="17"/>
      <c r="R24" s="17"/>
      <c r="S24" s="17"/>
    </row>
    <row r="25" spans="6:20" ht="15" customHeight="1" x14ac:dyDescent="0.25">
      <c r="G25" s="74"/>
      <c r="H25" s="74"/>
      <c r="I25" s="74"/>
      <c r="J25" s="74"/>
      <c r="K25" s="74"/>
      <c r="L25" s="74"/>
      <c r="M25" s="74"/>
      <c r="N25" s="17"/>
      <c r="O25" s="17"/>
      <c r="P25" s="17"/>
      <c r="Q25" s="17"/>
      <c r="R25" s="17"/>
      <c r="S25" s="17"/>
    </row>
  </sheetData>
  <sheetProtection sheet="1" objects="1" scenarios="1" selectLockedCells="1"/>
  <mergeCells count="3">
    <mergeCell ref="G23:M25"/>
    <mergeCell ref="F3:K4"/>
    <mergeCell ref="F5:T22"/>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T38"/>
  <sheetViews>
    <sheetView showGridLines="0" zoomScaleNormal="100" workbookViewId="0">
      <selection activeCell="O7" sqref="O7"/>
    </sheetView>
  </sheetViews>
  <sheetFormatPr defaultRowHeight="15" x14ac:dyDescent="0.25"/>
  <cols>
    <col min="1" max="1" width="1.7109375" style="66" customWidth="1"/>
    <col min="6" max="6" width="11.5703125" bestFit="1" customWidth="1"/>
    <col min="7" max="16" width="9.28515625" bestFit="1" customWidth="1"/>
    <col min="18" max="18" width="11.5703125" bestFit="1" customWidth="1"/>
  </cols>
  <sheetData>
    <row r="1" spans="6:20" s="66" customFormat="1" ht="8.25" customHeight="1" x14ac:dyDescent="0.25"/>
    <row r="3" spans="6:20" ht="12.75" customHeight="1" x14ac:dyDescent="0.25">
      <c r="F3" s="5" t="s">
        <v>72</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4" t="s">
        <v>73</v>
      </c>
      <c r="G6" s="35"/>
      <c r="H6" s="35"/>
      <c r="I6" s="35"/>
      <c r="J6" s="35"/>
      <c r="K6" s="35"/>
      <c r="L6" s="35"/>
      <c r="M6" s="35"/>
      <c r="N6" s="36"/>
      <c r="O6" s="37">
        <v>900</v>
      </c>
      <c r="P6" s="8" t="s">
        <v>67</v>
      </c>
      <c r="Q6" s="1"/>
      <c r="R6" s="1"/>
      <c r="S6" s="1"/>
      <c r="T6" s="1"/>
    </row>
    <row r="7" spans="6:20" x14ac:dyDescent="0.25">
      <c r="F7" s="34" t="s">
        <v>74</v>
      </c>
      <c r="G7" s="35"/>
      <c r="H7" s="35"/>
      <c r="I7" s="35"/>
      <c r="J7" s="35"/>
      <c r="K7" s="35"/>
      <c r="L7" s="35"/>
      <c r="M7" s="35"/>
      <c r="N7" s="36"/>
      <c r="O7" s="37">
        <v>100</v>
      </c>
      <c r="P7" s="8" t="s">
        <v>67</v>
      </c>
      <c r="Q7" s="1"/>
      <c r="R7" s="1"/>
      <c r="S7" s="1"/>
    </row>
    <row r="8" spans="6:20" x14ac:dyDescent="0.25">
      <c r="F8" s="34" t="s">
        <v>75</v>
      </c>
      <c r="G8" s="35"/>
      <c r="H8" s="35"/>
      <c r="I8" s="35"/>
      <c r="J8" s="35"/>
      <c r="K8" s="35"/>
      <c r="L8" s="35"/>
      <c r="M8" s="35"/>
      <c r="N8" s="36"/>
      <c r="O8" s="37">
        <v>1000</v>
      </c>
      <c r="P8" s="8" t="s">
        <v>67</v>
      </c>
      <c r="Q8" s="1"/>
      <c r="R8" s="1"/>
      <c r="S8" s="1"/>
      <c r="T8" s="1"/>
    </row>
    <row r="9" spans="6:20" x14ac:dyDescent="0.25">
      <c r="F9" s="34" t="s">
        <v>7</v>
      </c>
      <c r="G9" s="38"/>
      <c r="H9" s="38"/>
      <c r="I9" s="38"/>
      <c r="J9" s="38"/>
      <c r="K9" s="38"/>
      <c r="L9" s="38"/>
      <c r="M9" s="38"/>
      <c r="N9" s="36"/>
      <c r="O9" s="37">
        <v>2025</v>
      </c>
      <c r="P9" s="8" t="s">
        <v>92</v>
      </c>
      <c r="Q9" s="1"/>
      <c r="R9" s="1"/>
      <c r="S9" s="1"/>
    </row>
    <row r="10" spans="6:20" x14ac:dyDescent="0.25">
      <c r="F10" s="34" t="s">
        <v>76</v>
      </c>
      <c r="G10" s="36"/>
      <c r="H10" s="36"/>
      <c r="I10" s="36"/>
      <c r="J10" s="36"/>
      <c r="K10" s="36"/>
      <c r="L10" s="36"/>
      <c r="M10" s="36"/>
      <c r="N10" s="36"/>
      <c r="O10" s="37">
        <v>0.4</v>
      </c>
      <c r="P10" s="8" t="s">
        <v>77</v>
      </c>
      <c r="Q10" s="2"/>
      <c r="R10" s="2"/>
      <c r="S10" s="1"/>
      <c r="T10" s="1"/>
    </row>
    <row r="11" spans="6:20" x14ac:dyDescent="0.25">
      <c r="F11" s="34" t="s">
        <v>50</v>
      </c>
      <c r="G11" s="38"/>
      <c r="H11" s="38"/>
      <c r="I11" s="38"/>
      <c r="J11" s="38"/>
      <c r="K11" s="38"/>
      <c r="L11" s="38"/>
      <c r="M11" s="38"/>
      <c r="N11" s="36"/>
      <c r="O11" s="37">
        <v>2033</v>
      </c>
      <c r="P11" s="8" t="s">
        <v>9</v>
      </c>
    </row>
    <row r="12" spans="6:20" x14ac:dyDescent="0.25">
      <c r="F12" s="40" t="str">
        <f>IF(COUNTBLANK(O6:O11)=0,CONCATENATE("O I-05 do seu município em ",O9, " é de ",ROUND(F28,1)," registros por quilômetro"),"")</f>
        <v>O I-05 do seu município em 2025 é de 1,6 registros por quilômetro</v>
      </c>
      <c r="G12" s="40"/>
      <c r="H12" s="40"/>
      <c r="I12" s="40"/>
      <c r="J12" s="40"/>
      <c r="K12" s="40"/>
      <c r="L12" s="40"/>
      <c r="M12" s="40"/>
      <c r="N12" s="40"/>
      <c r="O12" s="40"/>
      <c r="P12" s="2"/>
      <c r="Q12" s="2"/>
      <c r="R12" s="2"/>
      <c r="S12" s="1"/>
      <c r="T12" s="1"/>
    </row>
    <row r="14" spans="6:20" x14ac:dyDescent="0.25">
      <c r="F14" s="4" t="s">
        <v>10</v>
      </c>
      <c r="G14" s="11"/>
      <c r="H14" s="11"/>
      <c r="I14" s="11"/>
      <c r="J14" s="11"/>
      <c r="K14" s="2"/>
      <c r="L14" s="2"/>
      <c r="M14" s="2"/>
      <c r="N14" s="2"/>
      <c r="O14" s="2"/>
      <c r="P14" s="2"/>
      <c r="Q14" s="2"/>
      <c r="R14" s="2"/>
      <c r="S14" s="1"/>
      <c r="T14" s="1"/>
    </row>
    <row r="15" spans="6:20" x14ac:dyDescent="0.25">
      <c r="F15" s="50" t="s">
        <v>11</v>
      </c>
      <c r="G15" s="51"/>
      <c r="H15" s="52">
        <v>2025</v>
      </c>
      <c r="I15" s="51">
        <v>2026</v>
      </c>
      <c r="J15" s="52">
        <v>2027</v>
      </c>
      <c r="K15" s="51">
        <v>2028</v>
      </c>
      <c r="L15" s="52">
        <v>2029</v>
      </c>
      <c r="M15" s="51">
        <v>2030</v>
      </c>
      <c r="N15" s="52">
        <v>2031</v>
      </c>
      <c r="O15" s="51">
        <v>2032</v>
      </c>
      <c r="P15" s="53">
        <v>2033</v>
      </c>
      <c r="Q15" s="2"/>
      <c r="R15" s="2"/>
      <c r="S15" s="1"/>
      <c r="T15" s="1"/>
    </row>
    <row r="16" spans="6:20" x14ac:dyDescent="0.25">
      <c r="F16" s="54" t="s">
        <v>12</v>
      </c>
      <c r="G16" s="55"/>
      <c r="H16" s="56">
        <f t="shared" ref="H16:P16" si="0">IF(COUNTBLANK($O$6:$O$11)&lt;&gt;0,"",IF(H15=$O$9,$F$28,IF($O$11&lt;=H15,$O$10,(H15-$O$9)*$G$28+$F$28)))</f>
        <v>1.6363636363636365</v>
      </c>
      <c r="I16" s="55">
        <f t="shared" si="0"/>
        <v>1.4818181818181819</v>
      </c>
      <c r="J16" s="56">
        <f t="shared" si="0"/>
        <v>1.3272727272727274</v>
      </c>
      <c r="K16" s="55">
        <f t="shared" si="0"/>
        <v>1.1727272727272728</v>
      </c>
      <c r="L16" s="56">
        <f t="shared" si="0"/>
        <v>1.0181818181818183</v>
      </c>
      <c r="M16" s="55">
        <f t="shared" si="0"/>
        <v>0.86363636363636376</v>
      </c>
      <c r="N16" s="56">
        <f t="shared" si="0"/>
        <v>0.70909090909090922</v>
      </c>
      <c r="O16" s="55">
        <f t="shared" si="0"/>
        <v>0.55454545454545467</v>
      </c>
      <c r="P16" s="57">
        <f t="shared" si="0"/>
        <v>0.4</v>
      </c>
      <c r="Q16" s="2"/>
      <c r="R16" s="2"/>
      <c r="S16" s="1"/>
      <c r="T16" s="1"/>
    </row>
    <row r="17" spans="2:20" x14ac:dyDescent="0.25">
      <c r="F17" s="2"/>
      <c r="G17" s="2"/>
      <c r="H17" s="2"/>
      <c r="I17" s="2"/>
      <c r="J17" s="2"/>
      <c r="K17" s="2"/>
      <c r="L17" s="2"/>
      <c r="M17" s="2"/>
      <c r="N17" s="2"/>
      <c r="O17" s="2"/>
      <c r="P17" s="2"/>
      <c r="Q17" s="2"/>
      <c r="R17" s="2"/>
      <c r="S17" s="1"/>
      <c r="T17" s="1"/>
    </row>
    <row r="18" spans="2:20" x14ac:dyDescent="0.25">
      <c r="F18" s="9" t="s">
        <v>14</v>
      </c>
      <c r="G18" s="10"/>
      <c r="H18" s="10"/>
      <c r="I18" s="10"/>
      <c r="J18" s="2"/>
      <c r="K18" s="2"/>
      <c r="L18" s="2"/>
      <c r="M18" s="2"/>
      <c r="N18" s="2"/>
      <c r="O18" s="2"/>
      <c r="P18" s="2"/>
      <c r="Q18" s="2"/>
      <c r="R18" s="2"/>
      <c r="S18" s="1"/>
      <c r="T18" s="1"/>
    </row>
    <row r="19" spans="2:20" x14ac:dyDescent="0.25">
      <c r="F19" s="50" t="s">
        <v>11</v>
      </c>
      <c r="G19" s="60"/>
      <c r="H19" s="52">
        <v>2025</v>
      </c>
      <c r="I19" s="60">
        <v>2026</v>
      </c>
      <c r="J19" s="52">
        <v>2027</v>
      </c>
      <c r="K19" s="60">
        <v>2028</v>
      </c>
      <c r="L19" s="52">
        <v>2029</v>
      </c>
      <c r="M19" s="60">
        <v>2030</v>
      </c>
      <c r="N19" s="52">
        <v>2031</v>
      </c>
      <c r="O19" s="60">
        <v>2032</v>
      </c>
      <c r="P19" s="53">
        <v>2033</v>
      </c>
      <c r="Q19" s="2"/>
      <c r="R19" s="2"/>
      <c r="S19" s="1"/>
      <c r="T19" s="1"/>
    </row>
    <row r="20" spans="2:20" x14ac:dyDescent="0.25">
      <c r="F20" s="54" t="s">
        <v>12</v>
      </c>
      <c r="G20" s="61"/>
      <c r="H20" s="58">
        <f t="shared" ref="H20:P20" si="1">IF(COUNTBLANK($O$6:$O$11)&lt;&gt;0,"",IF(H19=$O$9,$F$28,IF($O$11&lt;=H19,$O$10,$F$28*$H$28^(H19-$O$9))))</f>
        <v>1.6363636363636365</v>
      </c>
      <c r="I20" s="61">
        <f t="shared" si="1"/>
        <v>1.3721523740995121</v>
      </c>
      <c r="J20" s="58">
        <f t="shared" si="1"/>
        <v>1.1506013064009</v>
      </c>
      <c r="K20" s="61">
        <f t="shared" si="1"/>
        <v>0.96482241424555237</v>
      </c>
      <c r="L20" s="58">
        <f t="shared" si="1"/>
        <v>0.80903983495589071</v>
      </c>
      <c r="M20" s="61">
        <f t="shared" si="1"/>
        <v>0.67841029072410175</v>
      </c>
      <c r="N20" s="58">
        <f t="shared" si="1"/>
        <v>0.56887251118537663</v>
      </c>
      <c r="O20" s="61">
        <f t="shared" si="1"/>
        <v>0.47702096858959014</v>
      </c>
      <c r="P20" s="59">
        <f t="shared" si="1"/>
        <v>0.4</v>
      </c>
      <c r="Q20" s="23">
        <f>P20</f>
        <v>0.4</v>
      </c>
      <c r="R20" s="2"/>
      <c r="S20" s="1"/>
      <c r="T20" s="1"/>
    </row>
    <row r="21" spans="2:20" x14ac:dyDescent="0.25">
      <c r="F21" s="2"/>
      <c r="Q21" s="2"/>
      <c r="R21" s="2"/>
      <c r="S21" s="1"/>
      <c r="T21" s="1"/>
    </row>
    <row r="22" spans="2:20" x14ac:dyDescent="0.25">
      <c r="F22" s="12" t="s">
        <v>13</v>
      </c>
      <c r="G22" s="12"/>
      <c r="H22" s="12"/>
      <c r="I22" s="12"/>
      <c r="J22" s="2"/>
      <c r="K22" s="2"/>
      <c r="L22" s="2"/>
      <c r="M22" s="2"/>
      <c r="N22" s="2"/>
      <c r="O22" s="2"/>
      <c r="P22" s="2"/>
      <c r="Q22" s="2"/>
      <c r="R22" s="2"/>
      <c r="S22" s="1"/>
      <c r="T22" s="1"/>
    </row>
    <row r="23" spans="2:20" x14ac:dyDescent="0.25">
      <c r="F23" s="50" t="s">
        <v>11</v>
      </c>
      <c r="G23" s="62"/>
      <c r="H23" s="52">
        <v>2025</v>
      </c>
      <c r="I23" s="62">
        <v>2026</v>
      </c>
      <c r="J23" s="52">
        <v>2027</v>
      </c>
      <c r="K23" s="62">
        <v>2028</v>
      </c>
      <c r="L23" s="52">
        <v>2029</v>
      </c>
      <c r="M23" s="62">
        <v>2030</v>
      </c>
      <c r="N23" s="52">
        <v>2031</v>
      </c>
      <c r="O23" s="62">
        <v>2032</v>
      </c>
      <c r="P23" s="53">
        <v>2033</v>
      </c>
      <c r="Q23" s="2"/>
      <c r="R23" s="2"/>
      <c r="S23" s="1"/>
      <c r="T23" s="1"/>
    </row>
    <row r="24" spans="2:20" x14ac:dyDescent="0.25">
      <c r="F24" s="54" t="s">
        <v>12</v>
      </c>
      <c r="G24" s="63"/>
      <c r="H24" s="58">
        <f>IF(COUNTBLANK($O$6:$O$11)&lt;&gt;0,"",IF(H15=$O$9,$F$28,IF($O$11&lt;=H15,$O$10,G24+LARGE($F$30:$P$30,3))))</f>
        <v>1.6363636363636365</v>
      </c>
      <c r="I24" s="63">
        <f>IF(COUNTBLANK($O$6:$O$11)&lt;&gt;0,"",IF(I15=$O$9,$F$28,IF($O$11&lt;=I15,$O$10,H24+LARGE($F$30:$P$30,4))))</f>
        <v>1.54451209376785</v>
      </c>
      <c r="J24" s="58">
        <f>IF(COUNTBLANK($O$6:$O$11)&lt;&gt;0,"",IF(J15=$O$9,$F$28,IF($O$11&lt;=J15,$O$10,I24+LARGE($F$30:$P$30,5))))</f>
        <v>1.4349743142291249</v>
      </c>
      <c r="K24" s="63">
        <f>IF(COUNTBLANK($O$6:$O$11)&lt;&gt;0,"",IF(K15=$O$9,$F$28,IF($O$11&lt;=K15,$O$10,J24+LARGE($F$30:$P$30,6))))</f>
        <v>1.3043447699973361</v>
      </c>
      <c r="L24" s="58">
        <f>IF(COUNTBLANK($O$6:$O$11)&lt;&gt;0,"",IF(L15=$O$9,$F$28,IF($O$11&lt;=L15,$O$10,K24+LARGE($F$30:$P$30,7))))</f>
        <v>1.1485621907076744</v>
      </c>
      <c r="M24" s="63">
        <f>IF(COUNTBLANK($O$6:$O$11)&lt;&gt;0,"",IF(M15=$O$9,$F$28,IF($O$11&lt;=M15,$O$10,L24+LARGE($F$30:$P$30,8))))</f>
        <v>0.96278329855232681</v>
      </c>
      <c r="N24" s="58">
        <f>IF(COUNTBLANK($O$6:$O$11)&lt;&gt;0,"",IF(N15=$O$9,$F$28,IF($O$11&lt;=N15,$O$10,M24+LARGE($F$30:$P$30,9))))</f>
        <v>0.7412322308537147</v>
      </c>
      <c r="O24" s="63">
        <f>IF(COUNTBLANK($O$6:$O$11)&lt;&gt;0,"",IF(O15=$O$9,$F$28,IF($O$11&lt;=O15,$O$10,N24+LARGE($F$30:$P$30,10))))</f>
        <v>0.47702096858959031</v>
      </c>
      <c r="P24" s="59">
        <f>IF(COUNTBLANK($O$6:$O$11)&lt;&gt;0,"",IF(P15=$O$9,$F$28,IF($O$11&lt;=P15,$O$10,O24+LARGE($F$30:$P$30,11))))</f>
        <v>0.4</v>
      </c>
      <c r="Q24" s="22"/>
    </row>
    <row r="25" spans="2:20" x14ac:dyDescent="0.25">
      <c r="F25" s="18"/>
      <c r="G25" s="18"/>
      <c r="H25" s="18"/>
    </row>
    <row r="26" spans="2:20" x14ac:dyDescent="0.25">
      <c r="D26" s="64"/>
      <c r="E26" s="64"/>
      <c r="F26" s="64"/>
      <c r="G26" s="64"/>
      <c r="H26" s="64"/>
      <c r="I26" s="64"/>
      <c r="J26" s="64"/>
      <c r="K26" s="64"/>
      <c r="L26" s="64"/>
      <c r="M26" s="64"/>
      <c r="N26" s="64"/>
      <c r="O26" s="64"/>
      <c r="P26" s="64"/>
    </row>
    <row r="27" spans="2:20" x14ac:dyDescent="0.25">
      <c r="D27" s="14"/>
      <c r="E27" s="14"/>
      <c r="F27" s="19" t="s">
        <v>15</v>
      </c>
      <c r="G27" s="19" t="s">
        <v>16</v>
      </c>
      <c r="H27" s="19" t="s">
        <v>17</v>
      </c>
      <c r="I27" s="14"/>
      <c r="J27" s="14"/>
      <c r="K27" s="14"/>
      <c r="L27" s="14"/>
      <c r="M27" s="14"/>
      <c r="N27" s="14"/>
      <c r="O27" s="14"/>
      <c r="P27" s="14"/>
    </row>
    <row r="28" spans="2:20" x14ac:dyDescent="0.25">
      <c r="D28" s="14"/>
      <c r="E28" s="14"/>
      <c r="F28" s="19">
        <f>IF(COUNTBLANK(O6:O8)&lt;&gt;0,"",(O6/((O7+O8)/2)))</f>
        <v>1.6363636363636365</v>
      </c>
      <c r="G28" s="20">
        <f>IF(COUNTBLANK(O6:O11)&lt;&gt;0,"",(O10-F28)/(O11-O9))</f>
        <v>-0.15454545454545454</v>
      </c>
      <c r="H28" s="20">
        <f>IF(COUNTBLANK(O6:O11)&lt;&gt;0,"",((O10/F28)^(1/(O11-O9))))</f>
        <v>0.83853756194970175</v>
      </c>
      <c r="I28" s="14"/>
      <c r="J28" s="14"/>
      <c r="K28" s="14"/>
      <c r="L28" s="14"/>
      <c r="M28" s="14"/>
      <c r="N28" s="14"/>
      <c r="O28" s="14"/>
      <c r="P28" s="14"/>
    </row>
    <row r="29" spans="2:20" x14ac:dyDescent="0.25">
      <c r="B29" s="18"/>
      <c r="C29" s="18"/>
      <c r="D29" s="22"/>
      <c r="E29" s="22"/>
      <c r="F29" s="14"/>
      <c r="G29" s="14"/>
      <c r="H29" s="14"/>
      <c r="I29" s="14"/>
      <c r="J29" s="14"/>
      <c r="K29" s="14"/>
      <c r="L29" s="14"/>
      <c r="M29" s="14"/>
      <c r="N29" s="14"/>
      <c r="O29" s="14"/>
      <c r="P29" s="14"/>
    </row>
    <row r="30" spans="2:20" x14ac:dyDescent="0.25">
      <c r="D30" s="14"/>
      <c r="E30" s="13" t="s">
        <v>28</v>
      </c>
      <c r="F30" s="16">
        <f>H20-F28</f>
        <v>0</v>
      </c>
      <c r="G30" s="16" t="str">
        <f>IF((H20-G20)&gt;0,"0,0",H20-G20)</f>
        <v>0,0</v>
      </c>
      <c r="H30" s="16">
        <f t="shared" ref="H30:P30" si="2">IF((I20-H20)&gt;0,"0,0",I20-H20)</f>
        <v>-0.26421126226412439</v>
      </c>
      <c r="I30" s="16">
        <f t="shared" si="2"/>
        <v>-0.2215510676986121</v>
      </c>
      <c r="J30" s="16">
        <f t="shared" si="2"/>
        <v>-0.1857788921553476</v>
      </c>
      <c r="K30" s="16">
        <f t="shared" si="2"/>
        <v>-0.15578257928966166</v>
      </c>
      <c r="L30" s="16">
        <f t="shared" si="2"/>
        <v>-0.13062954423178896</v>
      </c>
      <c r="M30" s="16">
        <f t="shared" si="2"/>
        <v>-0.10953777953872512</v>
      </c>
      <c r="N30" s="16">
        <f t="shared" si="2"/>
        <v>-9.1851542595786484E-2</v>
      </c>
      <c r="O30" s="16">
        <f t="shared" si="2"/>
        <v>-7.7020968589590122E-2</v>
      </c>
      <c r="P30" s="16">
        <f t="shared" si="2"/>
        <v>0</v>
      </c>
    </row>
    <row r="31" spans="2:20" x14ac:dyDescent="0.25">
      <c r="D31" s="14"/>
      <c r="E31" s="14"/>
      <c r="F31" s="14"/>
      <c r="G31" s="14"/>
      <c r="H31" s="14"/>
      <c r="I31" s="14"/>
      <c r="J31" s="14"/>
      <c r="K31" s="14"/>
      <c r="L31" s="14"/>
      <c r="M31" s="14"/>
      <c r="N31" s="14"/>
      <c r="O31" s="14"/>
      <c r="P31" s="14"/>
    </row>
    <row r="32" spans="2:20" x14ac:dyDescent="0.25">
      <c r="D32" s="64"/>
      <c r="E32" s="64"/>
      <c r="F32" s="64"/>
      <c r="G32" s="64"/>
      <c r="H32" s="64"/>
      <c r="I32" s="64"/>
      <c r="J32" s="64"/>
      <c r="K32" s="64"/>
      <c r="L32" s="64"/>
      <c r="M32" s="64"/>
      <c r="N32" s="64"/>
      <c r="O32" s="64"/>
      <c r="P32" s="64"/>
    </row>
    <row r="33" spans="4:16" x14ac:dyDescent="0.25">
      <c r="D33" s="64"/>
      <c r="E33" s="64"/>
      <c r="F33" s="64"/>
      <c r="G33" s="64"/>
      <c r="H33" s="64"/>
      <c r="I33" s="64"/>
      <c r="J33" s="64"/>
      <c r="K33" s="64"/>
      <c r="L33" s="64"/>
      <c r="M33" s="64"/>
      <c r="N33" s="64"/>
      <c r="O33" s="64"/>
      <c r="P33" s="64"/>
    </row>
    <row r="34" spans="4:16" x14ac:dyDescent="0.25">
      <c r="D34" s="64"/>
      <c r="E34" s="64"/>
      <c r="F34" s="64"/>
      <c r="G34" s="64"/>
      <c r="H34" s="64"/>
      <c r="I34" s="64"/>
      <c r="J34" s="64"/>
      <c r="K34" s="64"/>
      <c r="L34" s="64"/>
      <c r="M34" s="64"/>
      <c r="N34" s="64"/>
      <c r="O34" s="64"/>
      <c r="P34" s="64"/>
    </row>
    <row r="35" spans="4:16" x14ac:dyDescent="0.25">
      <c r="D35" s="64"/>
      <c r="E35" s="64"/>
      <c r="F35" s="64"/>
      <c r="G35" s="64"/>
      <c r="H35" s="64"/>
      <c r="I35" s="64"/>
      <c r="J35" s="64"/>
      <c r="K35" s="64"/>
      <c r="L35" s="64"/>
      <c r="M35" s="64"/>
      <c r="N35" s="64"/>
      <c r="O35" s="64"/>
      <c r="P35" s="64"/>
    </row>
    <row r="36" spans="4:16" x14ac:dyDescent="0.25">
      <c r="D36" s="64"/>
      <c r="E36" s="64"/>
      <c r="F36" s="64"/>
      <c r="G36" s="64"/>
      <c r="H36" s="64"/>
      <c r="I36" s="64"/>
      <c r="J36" s="64"/>
      <c r="K36" s="64"/>
      <c r="L36" s="64"/>
      <c r="M36" s="64"/>
      <c r="N36" s="64"/>
      <c r="O36" s="64"/>
      <c r="P36" s="64"/>
    </row>
    <row r="37" spans="4:16" x14ac:dyDescent="0.25">
      <c r="D37" s="64"/>
      <c r="E37" s="64"/>
      <c r="F37" s="64"/>
      <c r="G37" s="64"/>
      <c r="H37" s="64"/>
      <c r="I37" s="64"/>
      <c r="J37" s="64"/>
      <c r="K37" s="64"/>
      <c r="L37" s="64"/>
      <c r="M37" s="64"/>
      <c r="N37" s="64"/>
      <c r="O37" s="64"/>
      <c r="P37" s="64"/>
    </row>
    <row r="38" spans="4:16" x14ac:dyDescent="0.25">
      <c r="D38" s="64"/>
      <c r="E38" s="64"/>
      <c r="F38" s="64"/>
      <c r="G38" s="64"/>
      <c r="H38" s="64"/>
      <c r="I38" s="64"/>
      <c r="J38" s="64"/>
      <c r="K38" s="64"/>
      <c r="L38" s="64"/>
      <c r="M38" s="64"/>
      <c r="N38" s="64"/>
      <c r="O38" s="64"/>
      <c r="P38" s="64"/>
    </row>
  </sheetData>
  <sheetProtection algorithmName="SHA-512" hashValue="4krSkrZUb+rgNsU1Q5v5GElKNamVPmdkNhKVjQJ+UyW+REhQBqMvH411ggvTIliHXO1gQqptgvVJNR3a3AdTdQ==" saltValue="jM9DRtvzxlcZCBV6/LF44A==" spinCount="100000" sheet="1" objects="1" scenarios="1" selectLockedCells="1"/>
  <dataValidations count="1">
    <dataValidation type="whole" errorStyle="warning" allowBlank="1" showDropDown="1" showInputMessage="1" showErrorMessage="1" errorTitle="Ano inválido" error="É recomendado que sejam inseridas informações de 2020, 2021, 2022, 2023 ou 2024." sqref="O9" xr:uid="{00000000-0002-0000-09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28"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900-000000000000}">
          <x14:formula1>
            <xm:f>Auxiliar!$B$2:$B$9</xm:f>
          </x14:formula1>
          <xm:sqref>O11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dimension ref="A1:BX31"/>
  <sheetViews>
    <sheetView showGridLines="0" zoomScaleNormal="100" workbookViewId="0">
      <selection activeCell="Y4" sqref="Y4"/>
    </sheetView>
  </sheetViews>
  <sheetFormatPr defaultColWidth="9" defaultRowHeight="15" x14ac:dyDescent="0.25"/>
  <cols>
    <col min="1" max="1" width="1.7109375" style="66" customWidth="1"/>
    <col min="2" max="5" width="9.140625"/>
    <col min="6" max="6" width="10.42578125" bestFit="1" customWidth="1"/>
    <col min="13" max="13" width="2" customWidth="1"/>
    <col min="18" max="18" width="11.5703125" bestFit="1" customWidth="1"/>
    <col min="21" max="21" width="3.140625" customWidth="1"/>
    <col min="29" max="29" width="2.42578125" customWidth="1"/>
    <col min="37" max="37" width="3" customWidth="1"/>
    <col min="45" max="45" width="2.85546875" customWidth="1"/>
    <col min="53" max="53" width="3.7109375" customWidth="1"/>
    <col min="61" max="61" width="2.42578125" customWidth="1"/>
    <col min="69" max="69" width="2.85546875" customWidth="1"/>
  </cols>
  <sheetData>
    <row r="1" spans="6:76" s="66" customFormat="1" ht="8.25" customHeight="1" x14ac:dyDescent="0.25"/>
    <row r="3" spans="6:76" ht="12.75" customHeight="1" x14ac:dyDescent="0.25">
      <c r="F3" s="5"/>
      <c r="G3" s="3"/>
      <c r="H3" s="3"/>
      <c r="I3" s="3"/>
      <c r="J3" s="3"/>
      <c r="K3" s="3"/>
    </row>
    <row r="4" spans="6:76" ht="15" customHeight="1" x14ac:dyDescent="0.25">
      <c r="F4" s="3"/>
      <c r="G4" s="3"/>
      <c r="H4" s="3"/>
      <c r="I4" s="3"/>
      <c r="J4" s="3"/>
      <c r="K4" s="3"/>
      <c r="L4" s="1"/>
      <c r="M4" s="1"/>
      <c r="N4" s="1"/>
      <c r="O4" s="1"/>
      <c r="P4" s="1"/>
      <c r="Q4" s="1"/>
      <c r="R4" s="1"/>
      <c r="S4" s="1"/>
      <c r="T4" s="1"/>
    </row>
    <row r="5" spans="6:76" ht="15" customHeight="1" x14ac:dyDescent="0.25">
      <c r="F5" s="7"/>
      <c r="G5" s="1"/>
      <c r="H5" s="1"/>
      <c r="I5" s="1"/>
      <c r="J5" s="1"/>
      <c r="K5" s="1"/>
      <c r="L5" s="1"/>
      <c r="M5" s="1"/>
      <c r="N5" s="1"/>
      <c r="O5" s="1"/>
      <c r="P5" s="1"/>
      <c r="Q5" s="1"/>
      <c r="R5" s="1"/>
      <c r="S5" s="1"/>
      <c r="T5" s="1"/>
    </row>
    <row r="6" spans="6:76" x14ac:dyDescent="0.25">
      <c r="F6" s="6" t="s">
        <v>78</v>
      </c>
      <c r="G6" s="1"/>
      <c r="H6" s="1"/>
      <c r="I6" s="1"/>
      <c r="J6" s="1"/>
      <c r="K6" s="1"/>
      <c r="L6" s="1"/>
      <c r="M6" s="1"/>
      <c r="N6" s="25"/>
      <c r="O6" s="8"/>
      <c r="P6" s="1"/>
      <c r="Q6" s="1"/>
      <c r="R6" s="1"/>
      <c r="S6" s="1"/>
      <c r="T6" s="1"/>
    </row>
    <row r="7" spans="6:76" x14ac:dyDescent="0.25">
      <c r="F7" s="6" t="s">
        <v>79</v>
      </c>
      <c r="G7" s="1"/>
      <c r="H7" s="1"/>
      <c r="I7" s="1"/>
      <c r="J7" s="1"/>
      <c r="K7" s="1"/>
      <c r="L7" s="1"/>
      <c r="M7" s="1"/>
      <c r="N7" s="25"/>
      <c r="O7" s="8"/>
      <c r="P7" s="1"/>
      <c r="Q7" s="1"/>
      <c r="R7" s="1"/>
      <c r="S7" s="1"/>
    </row>
    <row r="8" spans="6:76" x14ac:dyDescent="0.25">
      <c r="F8" s="68" t="s">
        <v>80</v>
      </c>
      <c r="G8" s="69"/>
      <c r="H8" s="69"/>
      <c r="I8" s="69"/>
      <c r="J8" s="69"/>
      <c r="K8" s="69"/>
      <c r="L8" s="69"/>
      <c r="M8" s="1"/>
      <c r="N8" s="68" t="s">
        <v>81</v>
      </c>
      <c r="O8" s="69"/>
      <c r="P8" s="69"/>
      <c r="Q8" s="69"/>
      <c r="R8" s="69"/>
      <c r="S8" s="69"/>
      <c r="T8" s="69"/>
      <c r="V8" s="68" t="s">
        <v>82</v>
      </c>
      <c r="W8" s="69"/>
      <c r="X8" s="69"/>
      <c r="Y8" s="69"/>
      <c r="Z8" s="69"/>
      <c r="AA8" s="69"/>
      <c r="AB8" s="69"/>
      <c r="AD8" s="68" t="s">
        <v>83</v>
      </c>
      <c r="AE8" s="69"/>
      <c r="AF8" s="69"/>
      <c r="AG8" s="69"/>
      <c r="AH8" s="69"/>
      <c r="AI8" s="69"/>
      <c r="AJ8" s="69"/>
      <c r="AL8" s="68" t="s">
        <v>84</v>
      </c>
      <c r="AM8" s="69"/>
      <c r="AN8" s="69"/>
      <c r="AO8" s="69"/>
      <c r="AP8" s="69"/>
      <c r="AQ8" s="69"/>
      <c r="AR8" s="69"/>
      <c r="AT8" s="68" t="s">
        <v>85</v>
      </c>
      <c r="AU8" s="69"/>
      <c r="AV8" s="69"/>
      <c r="AW8" s="69"/>
      <c r="AX8" s="69"/>
      <c r="AY8" s="69"/>
      <c r="AZ8" s="69"/>
      <c r="BB8" s="68" t="s">
        <v>86</v>
      </c>
      <c r="BC8" s="69"/>
      <c r="BD8" s="69"/>
      <c r="BE8" s="69"/>
      <c r="BF8" s="69"/>
      <c r="BG8" s="69"/>
      <c r="BH8" s="69"/>
      <c r="BJ8" s="68" t="s">
        <v>87</v>
      </c>
      <c r="BK8" s="69"/>
      <c r="BL8" s="69"/>
      <c r="BM8" s="69"/>
      <c r="BN8" s="69"/>
      <c r="BO8" s="69"/>
      <c r="BP8" s="69"/>
      <c r="BR8" s="68" t="s">
        <v>88</v>
      </c>
      <c r="BS8" s="69"/>
      <c r="BT8" s="69"/>
      <c r="BU8" s="69"/>
      <c r="BV8" s="69"/>
      <c r="BW8" s="69"/>
      <c r="BX8" s="69"/>
    </row>
    <row r="9" spans="6:76" x14ac:dyDescent="0.25">
      <c r="F9" s="6"/>
      <c r="G9" s="2"/>
      <c r="H9" s="2"/>
      <c r="I9" s="2"/>
      <c r="J9" s="2"/>
      <c r="K9" s="2"/>
      <c r="L9" s="2"/>
      <c r="M9" s="2"/>
      <c r="N9" s="25"/>
      <c r="O9" s="8"/>
      <c r="P9" s="1"/>
      <c r="Q9" s="1"/>
      <c r="R9" s="1"/>
      <c r="S9" s="1"/>
    </row>
    <row r="10" spans="6:76" x14ac:dyDescent="0.25">
      <c r="F10" s="6"/>
      <c r="N10" s="25"/>
      <c r="O10" s="8"/>
      <c r="P10" s="2"/>
      <c r="Q10" s="2"/>
      <c r="R10" s="2"/>
      <c r="S10" s="1"/>
      <c r="T10" s="1"/>
    </row>
    <row r="11" spans="6:76" x14ac:dyDescent="0.25">
      <c r="F11" s="6"/>
      <c r="G11" s="2"/>
      <c r="H11" s="2"/>
      <c r="I11" s="2"/>
      <c r="J11" s="2"/>
      <c r="K11" s="2"/>
      <c r="L11" s="2"/>
      <c r="M11" s="2"/>
      <c r="N11" s="25"/>
      <c r="O11" s="8"/>
    </row>
    <row r="12" spans="6:76" x14ac:dyDescent="0.25">
      <c r="F12" s="26"/>
      <c r="P12" s="2"/>
      <c r="Q12" s="2"/>
      <c r="R12" s="2"/>
      <c r="S12" s="1"/>
      <c r="T12" s="1"/>
    </row>
    <row r="14" spans="6:76" x14ac:dyDescent="0.25">
      <c r="F14" s="4"/>
      <c r="G14" s="11"/>
      <c r="H14" s="11"/>
      <c r="I14" s="11"/>
      <c r="J14" s="11"/>
      <c r="K14" s="2"/>
      <c r="L14" s="2"/>
      <c r="M14" s="2"/>
      <c r="N14" s="2"/>
      <c r="O14" s="2"/>
      <c r="P14" s="2"/>
      <c r="Q14" s="2"/>
      <c r="R14" s="2"/>
      <c r="S14" s="1"/>
      <c r="T14" s="1"/>
    </row>
    <row r="15" spans="6:76" x14ac:dyDescent="0.25">
      <c r="F15" s="27"/>
      <c r="G15" s="28"/>
      <c r="H15" s="28"/>
      <c r="I15" s="28"/>
      <c r="J15" s="28"/>
      <c r="K15" s="28"/>
      <c r="L15" s="28"/>
      <c r="M15" s="28"/>
      <c r="N15" s="28"/>
      <c r="O15" s="28"/>
      <c r="P15" s="28"/>
      <c r="Q15" s="2"/>
      <c r="R15" s="2"/>
      <c r="S15" s="1"/>
      <c r="T15" s="1"/>
    </row>
    <row r="16" spans="6:76" x14ac:dyDescent="0.25">
      <c r="F16" s="27"/>
      <c r="G16" s="29"/>
      <c r="H16" s="29"/>
      <c r="I16" s="29"/>
      <c r="J16" s="29"/>
      <c r="K16" s="29"/>
      <c r="L16" s="29"/>
      <c r="M16" s="29"/>
      <c r="N16" s="29"/>
      <c r="O16" s="29"/>
      <c r="P16" s="29"/>
      <c r="Q16" s="2"/>
      <c r="R16" s="2"/>
      <c r="S16" s="1"/>
      <c r="T16" s="1"/>
    </row>
    <row r="17" spans="2:20" x14ac:dyDescent="0.25">
      <c r="F17" s="2"/>
      <c r="G17" s="2"/>
      <c r="H17" s="2"/>
      <c r="I17" s="2"/>
      <c r="J17" s="2"/>
      <c r="K17" s="2"/>
      <c r="L17" s="2"/>
      <c r="M17" s="2"/>
      <c r="N17" s="2"/>
      <c r="O17" s="2"/>
      <c r="P17" s="2"/>
      <c r="Q17" s="2"/>
      <c r="R17" s="2"/>
      <c r="S17" s="1"/>
      <c r="T17" s="1"/>
    </row>
    <row r="18" spans="2:20" x14ac:dyDescent="0.25">
      <c r="F18" s="9"/>
      <c r="G18" s="10"/>
      <c r="H18" s="10"/>
      <c r="I18" s="10"/>
      <c r="J18" s="2"/>
      <c r="K18" s="2"/>
      <c r="L18" s="2"/>
      <c r="M18" s="2"/>
      <c r="N18" s="2"/>
      <c r="O18" s="2"/>
      <c r="P18" s="2"/>
      <c r="Q18" s="2"/>
      <c r="R18" s="2"/>
      <c r="S18" s="1"/>
      <c r="T18" s="1"/>
    </row>
    <row r="19" spans="2:20" x14ac:dyDescent="0.25">
      <c r="F19" s="27"/>
      <c r="G19" s="28"/>
      <c r="H19" s="28"/>
      <c r="I19" s="28"/>
      <c r="J19" s="28"/>
      <c r="K19" s="28"/>
      <c r="L19" s="28"/>
      <c r="M19" s="28"/>
      <c r="N19" s="28"/>
      <c r="O19" s="28"/>
      <c r="P19" s="28"/>
      <c r="Q19" s="2"/>
      <c r="R19" s="2"/>
      <c r="S19" s="1"/>
      <c r="T19" s="1"/>
    </row>
    <row r="20" spans="2:20" x14ac:dyDescent="0.25">
      <c r="F20" s="27"/>
      <c r="G20" s="30"/>
      <c r="H20" s="30"/>
      <c r="I20" s="30"/>
      <c r="J20" s="30"/>
      <c r="K20" s="30"/>
      <c r="L20" s="30"/>
      <c r="M20" s="30"/>
      <c r="N20" s="30"/>
      <c r="O20" s="30"/>
      <c r="P20" s="30"/>
      <c r="Q20" s="23"/>
      <c r="R20" s="2"/>
      <c r="S20" s="1"/>
      <c r="T20" s="1"/>
    </row>
    <row r="21" spans="2:20" x14ac:dyDescent="0.25">
      <c r="F21" s="2"/>
      <c r="Q21" s="2"/>
      <c r="R21" s="2"/>
      <c r="S21" s="1"/>
      <c r="T21" s="1"/>
    </row>
    <row r="22" spans="2:20" x14ac:dyDescent="0.25">
      <c r="F22" s="12"/>
      <c r="G22" s="12"/>
      <c r="H22" s="12"/>
      <c r="I22" s="12"/>
      <c r="J22" s="2"/>
      <c r="K22" s="2"/>
      <c r="L22" s="2"/>
      <c r="M22" s="2"/>
      <c r="N22" s="2"/>
      <c r="O22" s="2"/>
      <c r="P22" s="2"/>
      <c r="Q22" s="2"/>
      <c r="R22" s="2"/>
      <c r="S22" s="1"/>
      <c r="T22" s="1"/>
    </row>
    <row r="23" spans="2:20" x14ac:dyDescent="0.25">
      <c r="F23" s="27"/>
      <c r="G23" s="28"/>
      <c r="H23" s="28"/>
      <c r="I23" s="28"/>
      <c r="J23" s="28"/>
      <c r="K23" s="28"/>
      <c r="L23" s="28"/>
      <c r="M23" s="28"/>
      <c r="N23" s="28"/>
      <c r="O23" s="28"/>
      <c r="P23" s="28"/>
      <c r="Q23" s="2"/>
      <c r="R23" s="2"/>
      <c r="S23" s="1"/>
      <c r="T23" s="1"/>
    </row>
    <row r="24" spans="2:20" x14ac:dyDescent="0.25">
      <c r="F24" s="27"/>
      <c r="G24" s="30"/>
      <c r="H24" s="30"/>
      <c r="I24" s="30"/>
      <c r="J24" s="30"/>
      <c r="K24" s="30"/>
      <c r="L24" s="30"/>
      <c r="M24" s="30"/>
      <c r="N24" s="30"/>
      <c r="O24" s="30"/>
      <c r="P24" s="30"/>
      <c r="Q24" s="22"/>
    </row>
    <row r="25" spans="2:20" x14ac:dyDescent="0.25">
      <c r="F25" s="18"/>
      <c r="G25" s="18"/>
      <c r="H25" s="18"/>
    </row>
    <row r="27" spans="2:20" x14ac:dyDescent="0.25">
      <c r="E27" s="14"/>
      <c r="F27" s="19"/>
      <c r="G27" s="19"/>
      <c r="H27" s="19"/>
      <c r="I27" s="14"/>
      <c r="J27" s="14"/>
      <c r="K27" s="14"/>
      <c r="L27" s="14"/>
      <c r="M27" s="14"/>
      <c r="N27" s="14"/>
      <c r="O27" s="14"/>
      <c r="P27" s="14"/>
    </row>
    <row r="28" spans="2:20" x14ac:dyDescent="0.25">
      <c r="E28" s="14"/>
      <c r="F28" s="19"/>
      <c r="G28" s="20"/>
      <c r="H28" s="20"/>
      <c r="I28" s="14"/>
      <c r="J28" s="14"/>
      <c r="K28" s="14"/>
      <c r="L28" s="14"/>
      <c r="M28" s="14"/>
      <c r="N28" s="14"/>
      <c r="O28" s="14"/>
      <c r="P28" s="14"/>
    </row>
    <row r="29" spans="2:20" x14ac:dyDescent="0.25">
      <c r="B29" s="18"/>
      <c r="C29" s="18"/>
      <c r="D29" s="18"/>
      <c r="E29" s="22"/>
      <c r="F29" s="14"/>
      <c r="G29" s="14"/>
      <c r="H29" s="14"/>
      <c r="I29" s="14"/>
      <c r="J29" s="14"/>
      <c r="K29" s="14"/>
      <c r="L29" s="14"/>
      <c r="M29" s="14"/>
      <c r="N29" s="14"/>
      <c r="O29" s="14"/>
      <c r="P29" s="14"/>
    </row>
    <row r="30" spans="2:20" x14ac:dyDescent="0.25">
      <c r="E30" s="13" t="s">
        <v>28</v>
      </c>
      <c r="F30" s="16"/>
      <c r="G30" s="16"/>
      <c r="H30" s="16"/>
      <c r="I30" s="16"/>
      <c r="J30" s="16"/>
      <c r="K30" s="16"/>
      <c r="L30" s="16"/>
      <c r="M30" s="16"/>
      <c r="N30" s="16"/>
      <c r="O30" s="16"/>
      <c r="P30" s="16"/>
    </row>
    <row r="31" spans="2:20" x14ac:dyDescent="0.25">
      <c r="E31" s="14"/>
      <c r="F31" s="14"/>
      <c r="G31" s="14"/>
      <c r="H31" s="14"/>
      <c r="I31" s="14"/>
      <c r="J31" s="14"/>
      <c r="K31" s="14"/>
      <c r="L31" s="14"/>
      <c r="M31" s="14"/>
      <c r="N31" s="14"/>
      <c r="O31" s="14"/>
      <c r="P31" s="14"/>
    </row>
  </sheetData>
  <sheetProtection algorithmName="SHA-512" hashValue="6SDsE4nr4Szw3g4/GUU/fzCG+gcJwMK3PY1mtVtDmg2CZsUjnXKh6JPjviCMiiLfemOdQzNX3jAaYxLL9kEB3w==" saltValue="S4t+bF4WgfclpcXEFMTnIg==" spinCount="100000" sheet="1" objects="1" scenarios="1" selectLockedCells="1"/>
  <dataValidations disablePrompts="1" count="1">
    <dataValidation errorStyle="warning" allowBlank="1" showInputMessage="1" showErrorMessage="1" sqref="N11" xr:uid="{00000000-0002-0000-0A00-000000000000}"/>
  </dataValidation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dimension ref="A1:B9"/>
  <sheetViews>
    <sheetView workbookViewId="0">
      <selection activeCell="C9" sqref="C9"/>
    </sheetView>
  </sheetViews>
  <sheetFormatPr defaultRowHeight="15" x14ac:dyDescent="0.25"/>
  <cols>
    <col min="1" max="1" width="13" style="32" bestFit="1" customWidth="1"/>
    <col min="2" max="2" width="11.5703125" style="32" bestFit="1" customWidth="1"/>
  </cols>
  <sheetData>
    <row r="1" spans="1:2" x14ac:dyDescent="0.25">
      <c r="A1" s="31" t="s">
        <v>89</v>
      </c>
      <c r="B1" s="31" t="s">
        <v>90</v>
      </c>
    </row>
    <row r="2" spans="1:2" x14ac:dyDescent="0.25">
      <c r="A2" s="33">
        <v>2020</v>
      </c>
      <c r="B2" s="33">
        <v>2026</v>
      </c>
    </row>
    <row r="3" spans="1:2" x14ac:dyDescent="0.25">
      <c r="A3" s="33">
        <v>2021</v>
      </c>
      <c r="B3" s="33">
        <v>2027</v>
      </c>
    </row>
    <row r="4" spans="1:2" x14ac:dyDescent="0.25">
      <c r="A4" s="33">
        <v>2022</v>
      </c>
      <c r="B4" s="33">
        <v>2028</v>
      </c>
    </row>
    <row r="5" spans="1:2" x14ac:dyDescent="0.25">
      <c r="A5" s="33">
        <v>2023</v>
      </c>
      <c r="B5" s="33">
        <v>2029</v>
      </c>
    </row>
    <row r="6" spans="1:2" x14ac:dyDescent="0.25">
      <c r="A6" s="33">
        <v>2024</v>
      </c>
      <c r="B6" s="33">
        <v>2030</v>
      </c>
    </row>
    <row r="7" spans="1:2" x14ac:dyDescent="0.25">
      <c r="B7" s="33">
        <v>2031</v>
      </c>
    </row>
    <row r="8" spans="1:2" x14ac:dyDescent="0.25">
      <c r="B8" s="33">
        <v>2032</v>
      </c>
    </row>
    <row r="9" spans="1:2" x14ac:dyDescent="0.25">
      <c r="B9" s="33">
        <v>2033</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L37"/>
  <sheetViews>
    <sheetView showGridLines="0" zoomScaleNormal="100" workbookViewId="0">
      <selection activeCell="O7" sqref="O7"/>
    </sheetView>
  </sheetViews>
  <sheetFormatPr defaultRowHeight="15" x14ac:dyDescent="0.25"/>
  <cols>
    <col min="1" max="1" width="1.7109375" style="66" customWidth="1"/>
    <col min="18" max="18" width="11.5703125" bestFit="1" customWidth="1"/>
  </cols>
  <sheetData>
    <row r="1" spans="6:38" s="66" customFormat="1" ht="8.25" customHeight="1" x14ac:dyDescent="0.25"/>
    <row r="3" spans="6:38" ht="12.75" customHeight="1" x14ac:dyDescent="0.25">
      <c r="F3" s="5" t="s">
        <v>0</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4" t="s">
        <v>2</v>
      </c>
      <c r="G6" s="35"/>
      <c r="H6" s="35"/>
      <c r="I6" s="35"/>
      <c r="J6" s="35"/>
      <c r="K6" s="35"/>
      <c r="L6" s="35"/>
      <c r="M6" s="35"/>
      <c r="N6" s="36"/>
      <c r="O6" s="37">
        <v>100</v>
      </c>
      <c r="P6" s="77" t="s">
        <v>3</v>
      </c>
      <c r="Q6" s="78"/>
      <c r="R6" s="78"/>
      <c r="S6" s="78"/>
      <c r="T6" s="78"/>
      <c r="U6" s="78"/>
      <c r="V6" s="78"/>
      <c r="W6" s="78"/>
      <c r="X6" s="78"/>
      <c r="Y6" s="78"/>
      <c r="Z6" s="78"/>
      <c r="AA6" s="78"/>
      <c r="AB6" s="78"/>
      <c r="AC6" s="78"/>
      <c r="AD6" s="78"/>
      <c r="AE6" s="78"/>
      <c r="AF6" s="78"/>
      <c r="AG6" s="78"/>
      <c r="AH6" s="78"/>
      <c r="AI6" s="78"/>
      <c r="AJ6" s="78"/>
      <c r="AK6" s="78"/>
      <c r="AL6" s="78"/>
    </row>
    <row r="7" spans="6:38" x14ac:dyDescent="0.25">
      <c r="F7" s="34" t="s">
        <v>4</v>
      </c>
      <c r="G7" s="35"/>
      <c r="H7" s="35"/>
      <c r="I7" s="35"/>
      <c r="J7" s="35"/>
      <c r="K7" s="35"/>
      <c r="L7" s="35"/>
      <c r="M7" s="35"/>
      <c r="N7" s="36"/>
      <c r="O7" s="37">
        <v>100</v>
      </c>
      <c r="P7" s="77" t="s">
        <v>93</v>
      </c>
      <c r="Q7" s="78"/>
      <c r="R7" s="78"/>
      <c r="S7" s="78"/>
      <c r="T7" s="78"/>
      <c r="U7" s="78"/>
      <c r="V7" s="78"/>
      <c r="W7" s="78"/>
      <c r="X7" s="78"/>
      <c r="Y7" s="78"/>
      <c r="Z7" s="78"/>
      <c r="AA7" s="78"/>
      <c r="AB7" s="72"/>
      <c r="AC7" s="72"/>
      <c r="AD7" s="72"/>
      <c r="AE7" s="72"/>
      <c r="AF7" s="72"/>
      <c r="AG7" s="72"/>
      <c r="AH7" s="72"/>
      <c r="AI7" s="72"/>
      <c r="AJ7" s="72"/>
      <c r="AK7" s="72"/>
      <c r="AL7" s="72"/>
    </row>
    <row r="8" spans="6:38" x14ac:dyDescent="0.25">
      <c r="F8" s="34" t="s">
        <v>5</v>
      </c>
      <c r="G8" s="35"/>
      <c r="H8" s="35"/>
      <c r="I8" s="35"/>
      <c r="J8" s="35"/>
      <c r="K8" s="35"/>
      <c r="L8" s="35"/>
      <c r="M8" s="35"/>
      <c r="N8" s="36"/>
      <c r="O8" s="37">
        <v>800</v>
      </c>
      <c r="P8" s="77" t="s">
        <v>6</v>
      </c>
      <c r="Q8" s="78"/>
      <c r="R8" s="78"/>
      <c r="S8" s="78"/>
      <c r="T8" s="78"/>
      <c r="U8" s="78"/>
      <c r="V8" s="78"/>
      <c r="W8" s="78"/>
      <c r="X8" s="78"/>
      <c r="Y8" s="78"/>
      <c r="Z8" s="78"/>
      <c r="AA8" s="78"/>
      <c r="AB8" s="78"/>
      <c r="AC8" s="78"/>
      <c r="AD8" s="78"/>
      <c r="AE8" s="78"/>
      <c r="AF8" s="78"/>
      <c r="AG8" s="78"/>
      <c r="AH8" s="78"/>
      <c r="AI8" s="78"/>
      <c r="AJ8" s="72"/>
      <c r="AK8" s="72"/>
      <c r="AL8" s="72"/>
    </row>
    <row r="9" spans="6:38" x14ac:dyDescent="0.25">
      <c r="F9" s="34" t="s">
        <v>7</v>
      </c>
      <c r="G9" s="38"/>
      <c r="H9" s="38"/>
      <c r="I9" s="38"/>
      <c r="J9" s="38"/>
      <c r="K9" s="38"/>
      <c r="L9" s="38"/>
      <c r="M9" s="38"/>
      <c r="N9" s="36"/>
      <c r="O9" s="37">
        <v>2025</v>
      </c>
      <c r="P9" s="77" t="s">
        <v>92</v>
      </c>
      <c r="Q9" s="78"/>
      <c r="R9" s="78"/>
      <c r="S9" s="73"/>
      <c r="T9" s="67"/>
      <c r="U9" s="67"/>
      <c r="V9" s="72"/>
      <c r="W9" s="72"/>
      <c r="X9" s="72"/>
      <c r="Y9" s="72"/>
      <c r="Z9" s="72"/>
      <c r="AA9" s="72"/>
      <c r="AB9" s="72"/>
      <c r="AC9" s="72"/>
      <c r="AD9" s="72"/>
      <c r="AE9" s="72"/>
      <c r="AF9" s="72"/>
      <c r="AG9" s="72"/>
      <c r="AH9" s="72"/>
      <c r="AI9" s="72"/>
      <c r="AJ9" s="72"/>
      <c r="AK9" s="72"/>
      <c r="AL9" s="72"/>
    </row>
    <row r="10" spans="6:38" x14ac:dyDescent="0.25">
      <c r="F10" s="34" t="s">
        <v>8</v>
      </c>
      <c r="G10" s="38"/>
      <c r="H10" s="38"/>
      <c r="I10" s="38"/>
      <c r="J10" s="38"/>
      <c r="K10" s="38"/>
      <c r="L10" s="38"/>
      <c r="M10" s="38"/>
      <c r="N10" s="36"/>
      <c r="O10" s="37">
        <v>2033</v>
      </c>
      <c r="P10" s="77" t="s">
        <v>9</v>
      </c>
      <c r="Q10" s="78"/>
      <c r="R10" s="78"/>
      <c r="S10" s="78"/>
      <c r="T10" s="78"/>
      <c r="U10" s="78"/>
      <c r="V10" s="78"/>
      <c r="W10" s="78"/>
      <c r="X10" s="72"/>
      <c r="Y10" s="72"/>
      <c r="Z10" s="72"/>
      <c r="AA10" s="72"/>
      <c r="AB10" s="72"/>
      <c r="AC10" s="72"/>
      <c r="AD10" s="72"/>
      <c r="AE10" s="72"/>
      <c r="AF10" s="72"/>
      <c r="AG10" s="72"/>
      <c r="AH10" s="72"/>
      <c r="AI10" s="72"/>
      <c r="AJ10" s="72"/>
      <c r="AK10" s="72"/>
      <c r="AL10" s="72"/>
    </row>
    <row r="11" spans="6:38" x14ac:dyDescent="0.25">
      <c r="F11" s="40" t="str">
        <f>IF(COUNTBLANK(O6:O10)=0,CONCATENATE("O IAA do seu município em ",O9, " é de ",F27,"%"),"")</f>
        <v>O IAA do seu município em 2025 é de 25%</v>
      </c>
      <c r="G11" s="40"/>
      <c r="H11" s="40"/>
      <c r="I11" s="40"/>
      <c r="J11" s="39"/>
      <c r="K11" s="39"/>
      <c r="L11" s="39"/>
      <c r="M11" s="39"/>
      <c r="N11" s="41"/>
      <c r="O11" s="41"/>
      <c r="P11" s="2"/>
      <c r="Q11" s="2"/>
      <c r="R11" s="2"/>
      <c r="S11" s="1"/>
      <c r="T11" s="1"/>
    </row>
    <row r="13" spans="6:38" x14ac:dyDescent="0.25">
      <c r="F13" s="4" t="s">
        <v>10</v>
      </c>
      <c r="G13" s="11"/>
      <c r="H13" s="11"/>
      <c r="I13" s="11"/>
      <c r="J13" s="11"/>
      <c r="K13" s="2"/>
      <c r="L13" s="2"/>
      <c r="M13" s="2"/>
      <c r="N13" s="2"/>
      <c r="O13" s="2"/>
      <c r="P13" s="2"/>
      <c r="Q13" s="2"/>
      <c r="R13" s="2"/>
      <c r="S13" s="1"/>
      <c r="T13" s="1"/>
    </row>
    <row r="14" spans="6:38" x14ac:dyDescent="0.25">
      <c r="F14" s="50" t="s">
        <v>11</v>
      </c>
      <c r="G14" s="51"/>
      <c r="H14" s="52">
        <v>2025</v>
      </c>
      <c r="I14" s="51">
        <v>2026</v>
      </c>
      <c r="J14" s="52">
        <v>2027</v>
      </c>
      <c r="K14" s="51">
        <v>2028</v>
      </c>
      <c r="L14" s="52">
        <v>2029</v>
      </c>
      <c r="M14" s="51">
        <v>2030</v>
      </c>
      <c r="N14" s="52">
        <v>2031</v>
      </c>
      <c r="O14" s="51">
        <v>2032</v>
      </c>
      <c r="P14" s="53">
        <v>2033</v>
      </c>
      <c r="Q14" s="70"/>
      <c r="R14" s="2"/>
      <c r="S14" s="1"/>
      <c r="T14" s="1"/>
    </row>
    <row r="15" spans="6:38" x14ac:dyDescent="0.25">
      <c r="F15" s="54" t="s">
        <v>12</v>
      </c>
      <c r="G15" s="55"/>
      <c r="H15" s="56">
        <f>IF(COUNTBLANK($O$6:$O$10)&lt;&gt;0,"",IF(H14=$O$9,$F$27,IF($O$10&lt;=H14,99,(H14-$O$9)*$G$27+$F$27)))</f>
        <v>25</v>
      </c>
      <c r="I15" s="55">
        <f t="shared" ref="I15:P15" si="0">IF(COUNTBLANK($O$6:$O$10)&lt;&gt;0,"",IF(I14=$O$9,$F$27,IF($O$10&lt;=I14,99,(I14-$O$9)*$G$27+$F$27)))</f>
        <v>34.25</v>
      </c>
      <c r="J15" s="56">
        <f t="shared" si="0"/>
        <v>43.5</v>
      </c>
      <c r="K15" s="55">
        <f t="shared" si="0"/>
        <v>52.75</v>
      </c>
      <c r="L15" s="56">
        <f t="shared" si="0"/>
        <v>62</v>
      </c>
      <c r="M15" s="55">
        <f t="shared" si="0"/>
        <v>71.25</v>
      </c>
      <c r="N15" s="56">
        <f t="shared" si="0"/>
        <v>80.5</v>
      </c>
      <c r="O15" s="55">
        <f t="shared" si="0"/>
        <v>89.75</v>
      </c>
      <c r="P15" s="57">
        <f t="shared" si="0"/>
        <v>99</v>
      </c>
      <c r="Q15" s="70"/>
      <c r="R15" s="2"/>
      <c r="S15" s="1"/>
      <c r="T15" s="1"/>
    </row>
    <row r="16" spans="6:38" x14ac:dyDescent="0.25">
      <c r="F16" s="2"/>
      <c r="G16" s="2"/>
      <c r="H16" s="2"/>
      <c r="I16" s="2"/>
      <c r="J16" s="2"/>
      <c r="K16" s="2"/>
      <c r="L16" s="2"/>
      <c r="M16" s="2"/>
      <c r="N16" s="2"/>
      <c r="O16" s="2"/>
      <c r="P16" s="2"/>
      <c r="Q16" s="70"/>
      <c r="R16" s="2"/>
      <c r="S16" s="1"/>
      <c r="T16" s="1"/>
    </row>
    <row r="17" spans="2:22" x14ac:dyDescent="0.25">
      <c r="F17" s="9" t="s">
        <v>13</v>
      </c>
      <c r="G17" s="10"/>
      <c r="H17" s="10"/>
      <c r="I17" s="10"/>
      <c r="J17" s="2"/>
      <c r="K17" s="2"/>
      <c r="L17" s="2"/>
      <c r="M17" s="2"/>
      <c r="N17" s="2"/>
      <c r="O17" s="2"/>
      <c r="P17" s="2"/>
      <c r="Q17" s="70"/>
      <c r="R17" s="2"/>
      <c r="S17" s="1"/>
      <c r="T17" s="1"/>
    </row>
    <row r="18" spans="2:22" x14ac:dyDescent="0.25">
      <c r="F18" s="50" t="s">
        <v>11</v>
      </c>
      <c r="G18" s="60"/>
      <c r="H18" s="52">
        <v>2025</v>
      </c>
      <c r="I18" s="60">
        <v>2026</v>
      </c>
      <c r="J18" s="52">
        <v>2027</v>
      </c>
      <c r="K18" s="60">
        <v>2028</v>
      </c>
      <c r="L18" s="52">
        <v>2029</v>
      </c>
      <c r="M18" s="60">
        <v>2030</v>
      </c>
      <c r="N18" s="52">
        <v>2031</v>
      </c>
      <c r="O18" s="60">
        <v>2032</v>
      </c>
      <c r="P18" s="53">
        <v>2033</v>
      </c>
      <c r="Q18" s="70"/>
      <c r="R18" s="2"/>
      <c r="S18" s="1"/>
      <c r="T18" s="1"/>
    </row>
    <row r="19" spans="2:22" x14ac:dyDescent="0.25">
      <c r="F19" s="54" t="s">
        <v>12</v>
      </c>
      <c r="G19" s="61"/>
      <c r="H19" s="58">
        <f t="shared" ref="H19:P19" si="1">IF(COUNTBLANK($O$6:$O$10)&lt;&gt;0,"",IF(H18=$O$9,$F$27,IF($O$10&lt;=H18,99,$F$27*$H$27^(H18-$O$9))))</f>
        <v>25</v>
      </c>
      <c r="I19" s="61">
        <f t="shared" si="1"/>
        <v>29.69285154228497</v>
      </c>
      <c r="J19" s="58">
        <f t="shared" si="1"/>
        <v>35.266617308487</v>
      </c>
      <c r="K19" s="61">
        <f t="shared" si="1"/>
        <v>41.886657285579275</v>
      </c>
      <c r="L19" s="58">
        <f t="shared" si="1"/>
        <v>49.749371855330985</v>
      </c>
      <c r="M19" s="61">
        <f t="shared" si="1"/>
        <v>59.088028512890936</v>
      </c>
      <c r="N19" s="58">
        <f t="shared" si="1"/>
        <v>70.179682342382861</v>
      </c>
      <c r="O19" s="61">
        <f t="shared" si="1"/>
        <v>83.353395563083694</v>
      </c>
      <c r="P19" s="59">
        <f t="shared" si="1"/>
        <v>99</v>
      </c>
      <c r="Q19" s="71">
        <f>P19</f>
        <v>99</v>
      </c>
      <c r="R19" s="2"/>
      <c r="S19" s="1"/>
      <c r="T19" s="1"/>
    </row>
    <row r="20" spans="2:22" x14ac:dyDescent="0.25">
      <c r="F20" s="2"/>
      <c r="Q20" s="70"/>
      <c r="R20" s="2"/>
      <c r="S20" s="1"/>
      <c r="T20" s="1"/>
    </row>
    <row r="21" spans="2:22" x14ac:dyDescent="0.25">
      <c r="F21" s="12" t="s">
        <v>14</v>
      </c>
      <c r="G21" s="12"/>
      <c r="H21" s="12"/>
      <c r="I21" s="12"/>
      <c r="J21" s="2"/>
      <c r="K21" s="2"/>
      <c r="L21" s="2"/>
      <c r="M21" s="2"/>
      <c r="N21" s="2"/>
      <c r="O21" s="2"/>
      <c r="P21" s="2"/>
      <c r="Q21" s="70"/>
      <c r="R21" s="2"/>
      <c r="S21" s="1"/>
      <c r="T21" s="1"/>
    </row>
    <row r="22" spans="2:22" x14ac:dyDescent="0.25">
      <c r="F22" s="50" t="s">
        <v>11</v>
      </c>
      <c r="G22" s="62"/>
      <c r="H22" s="52">
        <v>2025</v>
      </c>
      <c r="I22" s="62">
        <v>2026</v>
      </c>
      <c r="J22" s="52">
        <v>2027</v>
      </c>
      <c r="K22" s="62">
        <v>2028</v>
      </c>
      <c r="L22" s="52">
        <v>2029</v>
      </c>
      <c r="M22" s="62">
        <v>2030</v>
      </c>
      <c r="N22" s="52">
        <v>2031</v>
      </c>
      <c r="O22" s="62">
        <v>2032</v>
      </c>
      <c r="P22" s="53">
        <v>2033</v>
      </c>
      <c r="Q22" s="70"/>
      <c r="R22" s="2"/>
      <c r="S22" s="1"/>
      <c r="T22" s="1"/>
    </row>
    <row r="23" spans="2:22" x14ac:dyDescent="0.25">
      <c r="F23" s="54" t="s">
        <v>12</v>
      </c>
      <c r="G23" s="63"/>
      <c r="H23" s="58">
        <f>IF(COUNTBLANK($O$6:$O$10)&lt;&gt;0,"",IF(H14=$O$9,$F$27,IF($O$10&lt;=H14,99,G23+LARGE($F$29:$P$29,2))))</f>
        <v>25</v>
      </c>
      <c r="I23" s="63">
        <f>IF(COUNTBLANK($O$6:$O$10)&lt;&gt;0,"",IF(I14=$O$9,$F$27,IF($O$10&lt;=I14,99,H23+LARGE($F$29:$P$29,3))))</f>
        <v>40.646604436916306</v>
      </c>
      <c r="J23" s="58">
        <f>IF(COUNTBLANK($O$6:$O$10)&lt;&gt;0,"",IF(J14=$O$9,$F$27,IF($O$10&lt;=J14,99,I23+LARGE($F$29:$P$29,4))))</f>
        <v>53.820317657617139</v>
      </c>
      <c r="K23" s="63">
        <f>IF(COUNTBLANK($O$6:$O$10)&lt;&gt;0,"",IF(K14=$O$9,$F$27,IF($O$10&lt;=K14,99,J23+LARGE($F$29:$P$29,5))))</f>
        <v>64.911971487109071</v>
      </c>
      <c r="L23" s="58">
        <f>IF(COUNTBLANK($O$6:$O$10)&lt;&gt;0,"",IF(L14=$O$9,$F$27,IF($O$10&lt;=L14,99,K23+LARGE($F$29:$P$29,6))))</f>
        <v>74.250628144669022</v>
      </c>
      <c r="M23" s="63">
        <f>IF(COUNTBLANK($O$6:$O$10)&lt;&gt;0,"",IF(M14=$O$9,$F$27,IF($O$10&lt;=M14,99,L23+LARGE($F$29:$P$29,7))))</f>
        <v>82.113342714420725</v>
      </c>
      <c r="N23" s="58">
        <f>IF(COUNTBLANK($O$6:$O$10)&lt;&gt;0,"",IF(N14=$O$9,$F$27,IF($O$10&lt;=N14,99,M23+LARGE($F$29:$P$29,8))))</f>
        <v>88.733382691513</v>
      </c>
      <c r="O23" s="63">
        <f>IF(COUNTBLANK($O$6:$O$10)&lt;&gt;0,"",IF(O14=$O$9,$F$27,IF($O$10&lt;=O14,99,N23+LARGE($F$29:$P$29,9))))</f>
        <v>94.30714845771503</v>
      </c>
      <c r="P23" s="59">
        <f>IF(COUNTBLANK($O$6:$O$10)&lt;&gt;0,"",IF(P14=$O$9,$F$27,IF($O$10&lt;=P14,99,O23+LARGE($F$29:$P$29,10))))</f>
        <v>99</v>
      </c>
      <c r="Q23" s="65">
        <f>P23</f>
        <v>99</v>
      </c>
    </row>
    <row r="25" spans="2:22" x14ac:dyDescent="0.25">
      <c r="B25" s="64"/>
      <c r="C25" s="64"/>
      <c r="D25" s="64"/>
      <c r="E25" s="64"/>
      <c r="F25" s="64"/>
      <c r="G25" s="64"/>
      <c r="H25" s="64"/>
      <c r="I25" s="64"/>
      <c r="J25" s="64"/>
      <c r="K25" s="64"/>
      <c r="L25" s="64"/>
      <c r="M25" s="64"/>
      <c r="N25" s="64"/>
      <c r="O25" s="64"/>
      <c r="P25" s="64"/>
      <c r="Q25" s="64"/>
      <c r="R25" s="64"/>
      <c r="S25" s="64"/>
      <c r="T25" s="64"/>
      <c r="U25" s="64"/>
      <c r="V25" s="64"/>
    </row>
    <row r="26" spans="2:22" x14ac:dyDescent="0.25">
      <c r="B26" s="64"/>
      <c r="C26" s="64"/>
      <c r="D26" s="64"/>
      <c r="E26" s="14"/>
      <c r="F26" s="13" t="s">
        <v>15</v>
      </c>
      <c r="G26" s="13" t="s">
        <v>16</v>
      </c>
      <c r="H26" s="13" t="s">
        <v>17</v>
      </c>
      <c r="I26" s="14"/>
      <c r="J26" s="14"/>
      <c r="K26" s="14"/>
      <c r="L26" s="14"/>
      <c r="M26" s="14"/>
      <c r="N26" s="14"/>
      <c r="O26" s="14"/>
      <c r="P26" s="14"/>
      <c r="Q26" s="14"/>
      <c r="R26" s="64"/>
      <c r="S26" s="64"/>
      <c r="T26" s="64"/>
      <c r="U26" s="64"/>
      <c r="V26" s="64"/>
    </row>
    <row r="27" spans="2:22" x14ac:dyDescent="0.25">
      <c r="B27" s="64"/>
      <c r="C27" s="64"/>
      <c r="D27" s="64"/>
      <c r="E27" s="14"/>
      <c r="F27" s="13">
        <f>IF(COUNTBLANK(O6:O8)&lt;&gt;0,"",100*(O7+O6)/O8)</f>
        <v>25</v>
      </c>
      <c r="G27" s="15">
        <f>IF(COUNTBLANK(O6:O10)&lt;&gt;0,"",(99-F27)/(O10-O9))</f>
        <v>9.25</v>
      </c>
      <c r="H27" s="15">
        <f>IF(COUNTBLANK(O6:O10)&lt;&gt;0,"",((99/F27)^(1/(O10-O9))))</f>
        <v>1.1877140616913988</v>
      </c>
      <c r="I27" s="14"/>
      <c r="J27" s="14"/>
      <c r="K27" s="14"/>
      <c r="L27" s="14"/>
      <c r="M27" s="14"/>
      <c r="N27" s="14"/>
      <c r="O27" s="14"/>
      <c r="P27" s="14"/>
      <c r="Q27" s="14"/>
      <c r="R27" s="64"/>
      <c r="S27" s="64"/>
      <c r="T27" s="64"/>
      <c r="U27" s="64"/>
      <c r="V27" s="64"/>
    </row>
    <row r="28" spans="2:22" x14ac:dyDescent="0.25">
      <c r="B28" s="64"/>
      <c r="C28" s="64"/>
      <c r="D28" s="64"/>
      <c r="E28" s="14"/>
      <c r="F28" s="14"/>
      <c r="G28" s="14"/>
      <c r="H28" s="14"/>
      <c r="I28" s="14"/>
      <c r="J28" s="14"/>
      <c r="K28" s="14"/>
      <c r="L28" s="14"/>
      <c r="M28" s="14"/>
      <c r="N28" s="14"/>
      <c r="O28" s="14"/>
      <c r="P28" s="14"/>
      <c r="Q28" s="14"/>
      <c r="R28" s="64"/>
      <c r="S28" s="64"/>
      <c r="T28" s="64"/>
      <c r="U28" s="64"/>
      <c r="V28" s="64"/>
    </row>
    <row r="29" spans="2:22" x14ac:dyDescent="0.25">
      <c r="B29" s="64"/>
      <c r="C29" s="64"/>
      <c r="D29" s="64"/>
      <c r="E29" s="13" t="s">
        <v>18</v>
      </c>
      <c r="F29" s="16">
        <f>IF(O9=2025,LARGE(G29:P29,1),H19-F27)</f>
        <v>25</v>
      </c>
      <c r="G29" s="16">
        <f>IF((H19-G19)&lt;0,"0,0",H19-G19)</f>
        <v>25</v>
      </c>
      <c r="H29" s="16">
        <f t="shared" ref="H29:P29" si="2">IF((I19-H19)&lt;0,"0,0",I19-H19)</f>
        <v>4.6928515422849699</v>
      </c>
      <c r="I29" s="16">
        <f t="shared" si="2"/>
        <v>5.5737657662020297</v>
      </c>
      <c r="J29" s="16">
        <f t="shared" si="2"/>
        <v>6.6200399770922758</v>
      </c>
      <c r="K29" s="16">
        <f t="shared" si="2"/>
        <v>7.8627145697517093</v>
      </c>
      <c r="L29" s="16">
        <f t="shared" si="2"/>
        <v>9.3386566575599517</v>
      </c>
      <c r="M29" s="16">
        <f t="shared" si="2"/>
        <v>11.091653829491925</v>
      </c>
      <c r="N29" s="16">
        <f t="shared" si="2"/>
        <v>13.173713220700833</v>
      </c>
      <c r="O29" s="16">
        <f t="shared" si="2"/>
        <v>15.646604436916306</v>
      </c>
      <c r="P29" s="16">
        <f t="shared" si="2"/>
        <v>0</v>
      </c>
      <c r="Q29" s="14"/>
      <c r="R29" s="64"/>
      <c r="S29" s="64"/>
      <c r="T29" s="64"/>
      <c r="U29" s="64"/>
      <c r="V29" s="64"/>
    </row>
    <row r="30" spans="2:22" x14ac:dyDescent="0.25">
      <c r="B30" s="64"/>
      <c r="C30" s="64"/>
      <c r="D30" s="64"/>
      <c r="E30" s="14"/>
      <c r="F30" s="14"/>
      <c r="G30" s="14"/>
      <c r="H30" s="14"/>
      <c r="I30" s="14"/>
      <c r="J30" s="14"/>
      <c r="K30" s="14"/>
      <c r="L30" s="14"/>
      <c r="M30" s="14"/>
      <c r="N30" s="14"/>
      <c r="O30" s="14"/>
      <c r="P30" s="14"/>
      <c r="Q30" s="14"/>
      <c r="R30" s="64"/>
      <c r="S30" s="64"/>
      <c r="T30" s="64"/>
      <c r="U30" s="64"/>
      <c r="V30" s="64"/>
    </row>
    <row r="31" spans="2:22" x14ac:dyDescent="0.25">
      <c r="B31" s="64"/>
      <c r="C31" s="64"/>
      <c r="D31" s="64"/>
      <c r="E31" s="14"/>
      <c r="F31" s="14"/>
      <c r="G31" s="14"/>
      <c r="H31" s="14"/>
      <c r="I31" s="14"/>
      <c r="J31" s="14"/>
      <c r="K31" s="14"/>
      <c r="L31" s="14"/>
      <c r="M31" s="14"/>
      <c r="N31" s="14"/>
      <c r="O31" s="14"/>
      <c r="P31" s="14"/>
      <c r="Q31" s="14"/>
      <c r="R31" s="64"/>
      <c r="S31" s="64"/>
      <c r="T31" s="64"/>
      <c r="U31" s="64"/>
      <c r="V31" s="64"/>
    </row>
    <row r="32" spans="2:22" x14ac:dyDescent="0.25">
      <c r="B32" s="64"/>
      <c r="C32" s="64"/>
      <c r="D32" s="64"/>
      <c r="E32" s="64"/>
      <c r="F32" s="64"/>
      <c r="G32" s="64"/>
      <c r="H32" s="64"/>
      <c r="I32" s="64"/>
      <c r="J32" s="64"/>
      <c r="K32" s="64"/>
      <c r="L32" s="64"/>
      <c r="M32" s="64"/>
      <c r="N32" s="64"/>
      <c r="O32" s="64"/>
      <c r="P32" s="64"/>
      <c r="Q32" s="64"/>
      <c r="R32" s="64"/>
      <c r="S32" s="64"/>
      <c r="T32" s="64"/>
      <c r="U32" s="64"/>
      <c r="V32" s="64"/>
    </row>
    <row r="33" spans="2:22" x14ac:dyDescent="0.25">
      <c r="B33" s="64"/>
      <c r="C33" s="64"/>
      <c r="D33" s="64"/>
      <c r="E33" s="64"/>
      <c r="F33" s="64"/>
      <c r="G33" s="64"/>
      <c r="H33" s="64"/>
      <c r="I33" s="64"/>
      <c r="J33" s="64"/>
      <c r="K33" s="64"/>
      <c r="L33" s="64"/>
      <c r="M33" s="64"/>
      <c r="N33" s="64"/>
      <c r="O33" s="64"/>
      <c r="P33" s="64"/>
      <c r="Q33" s="64"/>
      <c r="R33" s="64"/>
      <c r="S33" s="64"/>
      <c r="T33" s="64"/>
      <c r="U33" s="64"/>
      <c r="V33" s="64"/>
    </row>
    <row r="34" spans="2:22" x14ac:dyDescent="0.25">
      <c r="B34" s="64"/>
      <c r="C34" s="64"/>
      <c r="D34" s="64"/>
      <c r="E34" s="64"/>
      <c r="F34" s="64"/>
      <c r="G34" s="64"/>
      <c r="H34" s="64"/>
      <c r="I34" s="64"/>
      <c r="J34" s="64"/>
      <c r="K34" s="64"/>
      <c r="L34" s="64"/>
      <c r="M34" s="64"/>
      <c r="N34" s="64"/>
      <c r="O34" s="64"/>
      <c r="P34" s="64"/>
      <c r="Q34" s="64"/>
      <c r="R34" s="64"/>
      <c r="S34" s="64"/>
      <c r="T34" s="64"/>
      <c r="U34" s="64"/>
      <c r="V34" s="64"/>
    </row>
    <row r="35" spans="2:22" x14ac:dyDescent="0.25">
      <c r="B35" s="64"/>
      <c r="C35" s="64"/>
      <c r="D35" s="64"/>
      <c r="E35" s="64"/>
      <c r="F35" s="64"/>
      <c r="G35" s="64"/>
      <c r="H35" s="64"/>
      <c r="I35" s="64"/>
      <c r="J35" s="64"/>
      <c r="K35" s="64"/>
      <c r="L35" s="64"/>
      <c r="M35" s="64"/>
      <c r="N35" s="64"/>
      <c r="O35" s="64"/>
      <c r="P35" s="64"/>
      <c r="Q35" s="64"/>
      <c r="R35" s="64"/>
      <c r="S35" s="64"/>
      <c r="T35" s="64"/>
      <c r="U35" s="64"/>
      <c r="V35" s="64"/>
    </row>
    <row r="36" spans="2:22" x14ac:dyDescent="0.25">
      <c r="B36" s="64"/>
      <c r="C36" s="64"/>
      <c r="D36" s="64"/>
      <c r="E36" s="64"/>
      <c r="F36" s="64"/>
      <c r="G36" s="64"/>
      <c r="H36" s="64"/>
      <c r="I36" s="64"/>
      <c r="J36" s="64"/>
      <c r="K36" s="64"/>
      <c r="L36" s="64"/>
      <c r="M36" s="64"/>
      <c r="N36" s="64"/>
      <c r="O36" s="64"/>
      <c r="P36" s="64"/>
      <c r="Q36" s="64"/>
      <c r="R36" s="64"/>
      <c r="S36" s="64"/>
      <c r="T36" s="64"/>
      <c r="U36" s="64"/>
      <c r="V36" s="64"/>
    </row>
    <row r="37" spans="2:22" x14ac:dyDescent="0.25">
      <c r="B37" s="64"/>
      <c r="C37" s="64"/>
      <c r="D37" s="64"/>
      <c r="E37" s="64"/>
      <c r="F37" s="64"/>
      <c r="G37" s="64"/>
      <c r="H37" s="64"/>
      <c r="I37" s="64"/>
      <c r="J37" s="64"/>
      <c r="K37" s="64"/>
      <c r="L37" s="64"/>
      <c r="M37" s="64"/>
      <c r="N37" s="64"/>
      <c r="O37" s="64"/>
      <c r="P37" s="64"/>
      <c r="Q37" s="64"/>
      <c r="R37" s="64"/>
      <c r="S37" s="64"/>
      <c r="T37" s="64"/>
      <c r="U37" s="64"/>
      <c r="V37" s="64"/>
    </row>
  </sheetData>
  <sheetProtection algorithmName="SHA-512" hashValue="WdckaFj8E1F1dQG8N9d6ZHC4ggx1mhXAZ+j29DSBM1xPmfybXS+YelMrv+qjzh3/WqhKihbh2LeT/DKxvwoJ2w==" saltValue="lJU6S0kz1VAOWas0ZgnDCw==" spinCount="100000" sheet="1" objects="1" scenarios="1" selectLockedCells="1"/>
  <mergeCells count="5">
    <mergeCell ref="P6:AL6"/>
    <mergeCell ref="P7:AA7"/>
    <mergeCell ref="P8:AI8"/>
    <mergeCell ref="P9:R9"/>
    <mergeCell ref="P10:W10"/>
  </mergeCells>
  <dataValidations count="1">
    <dataValidation type="whole" errorStyle="warning" allowBlank="1" showDropDown="1" showInputMessage="1" showErrorMessage="1" errorTitle="Ano inválido" error="É recomendado que sejam inseridas informações de 2020, 2021, 2022, 2023 ou 2024." sqref="O9" xr:uid="{00000000-0002-0000-0100-000000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27"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100-000001000000}">
          <x14:formula1>
            <xm:f>Auxiliar!$B$2:$B$9</xm:f>
          </x14:formula1>
          <xm:sqref>O10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AL40"/>
  <sheetViews>
    <sheetView showGridLines="0" zoomScaleNormal="100" workbookViewId="0">
      <selection activeCell="O6" sqref="O6"/>
    </sheetView>
  </sheetViews>
  <sheetFormatPr defaultRowHeight="15" x14ac:dyDescent="0.25"/>
  <cols>
    <col min="1" max="1" width="1.7109375" style="66" customWidth="1"/>
    <col min="18" max="18" width="11.5703125" bestFit="1" customWidth="1"/>
  </cols>
  <sheetData>
    <row r="1" spans="6:38" s="66" customFormat="1" ht="8.25" customHeight="1" x14ac:dyDescent="0.25"/>
    <row r="3" spans="6:38" ht="12.75" customHeight="1" x14ac:dyDescent="0.25">
      <c r="F3" s="5" t="s">
        <v>19</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4" t="s">
        <v>2</v>
      </c>
      <c r="G6" s="35"/>
      <c r="H6" s="35"/>
      <c r="I6" s="35"/>
      <c r="J6" s="35"/>
      <c r="K6" s="35"/>
      <c r="L6" s="35"/>
      <c r="M6" s="35"/>
      <c r="N6" s="36"/>
      <c r="O6" s="37">
        <v>100</v>
      </c>
      <c r="P6" s="77" t="s">
        <v>20</v>
      </c>
      <c r="Q6" s="78"/>
      <c r="R6" s="78"/>
      <c r="S6" s="78"/>
      <c r="T6" s="78"/>
      <c r="U6" s="78"/>
      <c r="V6" s="78"/>
      <c r="W6" s="78"/>
      <c r="X6" s="78"/>
      <c r="Y6" s="78"/>
      <c r="Z6" s="78"/>
      <c r="AA6" s="78"/>
      <c r="AB6" s="78"/>
      <c r="AC6" s="78"/>
      <c r="AD6" s="78"/>
      <c r="AE6" s="78"/>
      <c r="AF6" s="78"/>
      <c r="AG6" s="78"/>
      <c r="AH6" s="78"/>
      <c r="AI6" s="78"/>
      <c r="AJ6" s="78"/>
      <c r="AK6" s="78"/>
      <c r="AL6" s="78"/>
    </row>
    <row r="7" spans="6:38" x14ac:dyDescent="0.25">
      <c r="F7" s="34" t="s">
        <v>21</v>
      </c>
      <c r="G7" s="35"/>
      <c r="H7" s="35"/>
      <c r="I7" s="35"/>
      <c r="J7" s="35"/>
      <c r="K7" s="35"/>
      <c r="L7" s="35"/>
      <c r="M7" s="35"/>
      <c r="N7" s="36"/>
      <c r="O7" s="37">
        <v>10</v>
      </c>
      <c r="P7" s="77" t="s">
        <v>20</v>
      </c>
      <c r="Q7" s="78"/>
      <c r="R7" s="78"/>
      <c r="S7" s="78"/>
      <c r="T7" s="78"/>
      <c r="U7" s="78"/>
      <c r="V7" s="78"/>
      <c r="W7" s="78"/>
      <c r="X7" s="78"/>
      <c r="Y7" s="78"/>
      <c r="Z7" s="78"/>
      <c r="AA7" s="78"/>
      <c r="AB7" s="78"/>
      <c r="AC7" s="78"/>
      <c r="AD7" s="78"/>
      <c r="AE7" s="78"/>
      <c r="AF7" s="78"/>
      <c r="AG7" s="78"/>
      <c r="AH7" s="78"/>
      <c r="AI7" s="78"/>
      <c r="AJ7" s="78"/>
      <c r="AK7" s="78"/>
      <c r="AL7" s="78"/>
    </row>
    <row r="8" spans="6:38" x14ac:dyDescent="0.25">
      <c r="F8" s="34" t="s">
        <v>22</v>
      </c>
      <c r="G8" s="35"/>
      <c r="H8" s="35"/>
      <c r="I8" s="35"/>
      <c r="J8" s="35"/>
      <c r="K8" s="35"/>
      <c r="L8" s="35"/>
      <c r="M8" s="35"/>
      <c r="N8" s="36"/>
      <c r="O8" s="37">
        <v>20</v>
      </c>
      <c r="P8" s="77" t="s">
        <v>20</v>
      </c>
      <c r="Q8" s="78"/>
      <c r="R8" s="78"/>
      <c r="S8" s="78"/>
      <c r="T8" s="78"/>
      <c r="U8" s="78"/>
      <c r="V8" s="78"/>
      <c r="W8" s="78"/>
      <c r="X8" s="78"/>
      <c r="Y8" s="78"/>
      <c r="Z8" s="78"/>
      <c r="AA8" s="78"/>
      <c r="AB8" s="78"/>
      <c r="AC8" s="78"/>
      <c r="AD8" s="78"/>
      <c r="AE8" s="78"/>
      <c r="AF8" s="78"/>
      <c r="AG8" s="78"/>
      <c r="AH8" s="78"/>
      <c r="AI8" s="78"/>
      <c r="AJ8" s="78"/>
      <c r="AK8" s="78"/>
      <c r="AL8" s="78"/>
    </row>
    <row r="9" spans="6:38" x14ac:dyDescent="0.25">
      <c r="F9" s="34" t="s">
        <v>23</v>
      </c>
      <c r="G9" s="36"/>
      <c r="H9" s="36"/>
      <c r="I9" s="36"/>
      <c r="J9" s="36"/>
      <c r="K9" s="36"/>
      <c r="L9" s="36"/>
      <c r="M9" s="36"/>
      <c r="N9" s="36"/>
      <c r="O9" s="37">
        <v>10</v>
      </c>
      <c r="P9" s="77" t="s">
        <v>20</v>
      </c>
      <c r="Q9" s="78"/>
      <c r="R9" s="78"/>
      <c r="S9" s="78"/>
      <c r="T9" s="78"/>
      <c r="U9" s="78"/>
      <c r="V9" s="78"/>
      <c r="W9" s="78"/>
      <c r="X9" s="78"/>
      <c r="Y9" s="78"/>
      <c r="Z9" s="78"/>
      <c r="AA9" s="78"/>
      <c r="AB9" s="78"/>
      <c r="AC9" s="78"/>
      <c r="AD9" s="78"/>
      <c r="AE9" s="78"/>
      <c r="AF9" s="78"/>
      <c r="AG9" s="78"/>
      <c r="AH9" s="78"/>
      <c r="AI9" s="78"/>
      <c r="AJ9" s="78"/>
      <c r="AK9" s="78"/>
      <c r="AL9" s="78"/>
    </row>
    <row r="10" spans="6:38" x14ac:dyDescent="0.25">
      <c r="F10" s="34" t="s">
        <v>24</v>
      </c>
      <c r="G10" s="36"/>
      <c r="H10" s="36"/>
      <c r="I10" s="36"/>
      <c r="J10" s="36"/>
      <c r="K10" s="36"/>
      <c r="L10" s="36"/>
      <c r="M10" s="36"/>
      <c r="N10" s="36"/>
      <c r="O10" s="37">
        <v>10</v>
      </c>
      <c r="P10" s="77" t="s">
        <v>20</v>
      </c>
      <c r="Q10" s="78"/>
      <c r="R10" s="78"/>
      <c r="S10" s="78"/>
      <c r="T10" s="78"/>
      <c r="U10" s="78"/>
      <c r="V10" s="78"/>
      <c r="W10" s="78"/>
      <c r="X10" s="78"/>
      <c r="Y10" s="78"/>
      <c r="Z10" s="78"/>
      <c r="AA10" s="78"/>
      <c r="AB10" s="78"/>
      <c r="AC10" s="78"/>
      <c r="AD10" s="78"/>
      <c r="AE10" s="78"/>
      <c r="AF10" s="78"/>
      <c r="AG10" s="78"/>
      <c r="AH10" s="78"/>
      <c r="AI10" s="78"/>
      <c r="AJ10" s="78"/>
      <c r="AK10" s="78"/>
      <c r="AL10" s="78"/>
    </row>
    <row r="11" spans="6:38" x14ac:dyDescent="0.25">
      <c r="F11" s="34" t="s">
        <v>25</v>
      </c>
      <c r="G11" s="36"/>
      <c r="H11" s="36"/>
      <c r="I11" s="36"/>
      <c r="J11" s="36"/>
      <c r="K11" s="36"/>
      <c r="L11" s="36"/>
      <c r="M11" s="36"/>
      <c r="N11" s="36"/>
      <c r="O11" s="37">
        <v>10</v>
      </c>
      <c r="P11" s="77" t="s">
        <v>20</v>
      </c>
      <c r="Q11" s="78"/>
      <c r="R11" s="78"/>
      <c r="S11" s="78"/>
      <c r="T11" s="78"/>
      <c r="U11" s="78"/>
      <c r="V11" s="78"/>
      <c r="W11" s="78"/>
      <c r="X11" s="78"/>
      <c r="Y11" s="78"/>
      <c r="Z11" s="78"/>
      <c r="AA11" s="78"/>
      <c r="AB11" s="78"/>
      <c r="AC11" s="78"/>
      <c r="AD11" s="78"/>
      <c r="AE11" s="78"/>
      <c r="AF11" s="78"/>
      <c r="AG11" s="78"/>
      <c r="AH11" s="78"/>
      <c r="AI11" s="78"/>
      <c r="AJ11" s="78"/>
      <c r="AK11" s="78"/>
      <c r="AL11" s="78"/>
    </row>
    <row r="12" spans="6:38" x14ac:dyDescent="0.25">
      <c r="F12" s="34" t="s">
        <v>4</v>
      </c>
      <c r="G12" s="36"/>
      <c r="H12" s="36"/>
      <c r="I12" s="36"/>
      <c r="J12" s="36"/>
      <c r="K12" s="36"/>
      <c r="L12" s="36"/>
      <c r="M12" s="36"/>
      <c r="N12" s="36"/>
      <c r="O12" s="37">
        <v>40</v>
      </c>
      <c r="P12" s="77" t="s">
        <v>93</v>
      </c>
      <c r="Q12" s="78"/>
      <c r="R12" s="78"/>
      <c r="S12" s="78"/>
      <c r="T12" s="78"/>
      <c r="U12" s="78"/>
      <c r="V12" s="78"/>
      <c r="W12" s="78"/>
      <c r="X12" s="78"/>
      <c r="Y12" s="78"/>
      <c r="Z12" s="78"/>
      <c r="AA12" s="78"/>
      <c r="AB12" s="72"/>
      <c r="AC12" s="72"/>
      <c r="AD12" s="72"/>
      <c r="AE12" s="72"/>
      <c r="AF12" s="72"/>
      <c r="AG12" s="72"/>
      <c r="AH12" s="72"/>
      <c r="AI12" s="72"/>
      <c r="AJ12" s="72"/>
      <c r="AK12" s="72"/>
      <c r="AL12" s="72"/>
    </row>
    <row r="13" spans="6:38" x14ac:dyDescent="0.25">
      <c r="F13" s="34" t="s">
        <v>26</v>
      </c>
      <c r="G13" s="36"/>
      <c r="H13" s="36"/>
      <c r="I13" s="36"/>
      <c r="J13" s="36"/>
      <c r="K13" s="36"/>
      <c r="L13" s="36"/>
      <c r="M13" s="36"/>
      <c r="N13" s="36"/>
      <c r="O13" s="37">
        <v>10</v>
      </c>
      <c r="P13" s="77" t="s">
        <v>94</v>
      </c>
      <c r="Q13" s="78"/>
      <c r="R13" s="78"/>
      <c r="S13" s="78"/>
      <c r="T13" s="78"/>
      <c r="U13" s="78"/>
      <c r="V13" s="78"/>
      <c r="W13" s="78"/>
      <c r="X13" s="78"/>
      <c r="Y13" s="78"/>
      <c r="Z13" s="78"/>
      <c r="AA13" s="78"/>
      <c r="AB13" s="72"/>
      <c r="AC13" s="72"/>
      <c r="AD13" s="72"/>
      <c r="AE13" s="72"/>
      <c r="AF13" s="72"/>
      <c r="AG13" s="72"/>
      <c r="AH13" s="72"/>
      <c r="AI13" s="72"/>
      <c r="AJ13" s="72"/>
      <c r="AK13" s="72"/>
      <c r="AL13" s="72"/>
    </row>
    <row r="14" spans="6:38" x14ac:dyDescent="0.25">
      <c r="F14" s="34" t="s">
        <v>27</v>
      </c>
      <c r="G14" s="36"/>
      <c r="H14" s="36"/>
      <c r="I14" s="36"/>
      <c r="J14" s="36"/>
      <c r="K14" s="36"/>
      <c r="L14" s="36"/>
      <c r="M14" s="36"/>
      <c r="N14" s="36"/>
      <c r="O14" s="37">
        <v>1000</v>
      </c>
      <c r="P14" s="77" t="s">
        <v>6</v>
      </c>
      <c r="Q14" s="78"/>
      <c r="R14" s="78"/>
      <c r="S14" s="78"/>
      <c r="T14" s="78"/>
      <c r="U14" s="78"/>
      <c r="V14" s="78"/>
      <c r="W14" s="78"/>
      <c r="X14" s="78"/>
      <c r="Y14" s="78"/>
      <c r="Z14" s="78"/>
      <c r="AA14" s="78"/>
      <c r="AB14" s="78"/>
      <c r="AC14" s="78"/>
      <c r="AD14" s="78"/>
      <c r="AE14" s="78"/>
      <c r="AF14" s="78"/>
      <c r="AG14" s="78"/>
      <c r="AH14" s="78"/>
      <c r="AI14" s="78"/>
      <c r="AJ14" s="72"/>
      <c r="AK14" s="72"/>
      <c r="AL14" s="72"/>
    </row>
    <row r="15" spans="6:38" x14ac:dyDescent="0.25">
      <c r="F15" s="34" t="s">
        <v>7</v>
      </c>
      <c r="G15" s="38"/>
      <c r="H15" s="38"/>
      <c r="I15" s="38"/>
      <c r="J15" s="38"/>
      <c r="K15" s="38"/>
      <c r="L15" s="38"/>
      <c r="M15" s="38"/>
      <c r="N15" s="36"/>
      <c r="O15" s="37">
        <v>2025</v>
      </c>
      <c r="P15" s="77" t="s">
        <v>92</v>
      </c>
      <c r="Q15" s="78"/>
      <c r="R15" s="78"/>
      <c r="S15" s="73"/>
      <c r="T15" s="67"/>
      <c r="U15" s="67"/>
      <c r="V15" s="72"/>
      <c r="W15" s="72"/>
      <c r="X15" s="72"/>
      <c r="Y15" s="72"/>
      <c r="Z15" s="72"/>
      <c r="AA15" s="72"/>
      <c r="AB15" s="72"/>
      <c r="AC15" s="72"/>
      <c r="AD15" s="72"/>
      <c r="AE15" s="72"/>
      <c r="AF15" s="72"/>
      <c r="AG15" s="72"/>
      <c r="AH15" s="72"/>
      <c r="AI15" s="72"/>
      <c r="AJ15" s="72"/>
      <c r="AK15" s="72"/>
      <c r="AL15" s="72"/>
    </row>
    <row r="16" spans="6:38" x14ac:dyDescent="0.25">
      <c r="F16" s="34" t="s">
        <v>8</v>
      </c>
      <c r="G16" s="38"/>
      <c r="H16" s="38"/>
      <c r="I16" s="38"/>
      <c r="J16" s="38"/>
      <c r="K16" s="38"/>
      <c r="L16" s="38"/>
      <c r="M16" s="38"/>
      <c r="N16" s="36"/>
      <c r="O16" s="37">
        <v>2033</v>
      </c>
      <c r="P16" s="77" t="s">
        <v>9</v>
      </c>
      <c r="Q16" s="78"/>
      <c r="R16" s="78"/>
      <c r="S16" s="78"/>
      <c r="T16" s="78"/>
      <c r="U16" s="78"/>
      <c r="V16" s="78"/>
      <c r="W16" s="78"/>
      <c r="X16" s="72"/>
      <c r="Y16" s="72"/>
      <c r="Z16" s="72"/>
      <c r="AA16" s="72"/>
      <c r="AB16" s="72"/>
      <c r="AC16" s="72"/>
      <c r="AD16" s="72"/>
      <c r="AE16" s="72"/>
      <c r="AF16" s="72"/>
      <c r="AG16" s="72"/>
      <c r="AH16" s="72"/>
      <c r="AI16" s="72"/>
      <c r="AJ16" s="72"/>
      <c r="AK16" s="72"/>
      <c r="AL16" s="72"/>
    </row>
    <row r="17" spans="4:20" x14ac:dyDescent="0.25">
      <c r="F17" s="40" t="str">
        <f>IF(COUNTBLANK(O6:O16)=0,CONCATENATE("O ICA do seu município em ",O15, " é de ",ROUND(F33,1),"%"),"")</f>
        <v>O ICA do seu município em 2025 é de 21%</v>
      </c>
      <c r="G17" s="40"/>
      <c r="H17" s="40"/>
      <c r="I17" s="40"/>
      <c r="J17" s="40"/>
      <c r="K17" s="40"/>
      <c r="L17" s="40"/>
      <c r="M17" s="40"/>
      <c r="N17" s="40"/>
      <c r="O17" s="40"/>
      <c r="P17" s="2"/>
      <c r="Q17" s="2"/>
      <c r="R17" s="2"/>
      <c r="S17" s="1"/>
      <c r="T17" s="1"/>
    </row>
    <row r="19" spans="4:20" x14ac:dyDescent="0.25">
      <c r="F19" s="4" t="s">
        <v>10</v>
      </c>
      <c r="G19" s="11"/>
      <c r="H19" s="11"/>
      <c r="I19" s="11"/>
      <c r="J19" s="11"/>
      <c r="K19" s="2"/>
      <c r="L19" s="2"/>
      <c r="M19" s="2"/>
      <c r="N19" s="2"/>
      <c r="O19" s="2"/>
      <c r="P19" s="2"/>
      <c r="Q19" s="2"/>
      <c r="R19" s="2"/>
      <c r="S19" s="1"/>
      <c r="T19" s="1"/>
    </row>
    <row r="20" spans="4:20" x14ac:dyDescent="0.25">
      <c r="F20" s="50" t="s">
        <v>11</v>
      </c>
      <c r="G20" s="51"/>
      <c r="H20" s="52">
        <v>2025</v>
      </c>
      <c r="I20" s="51">
        <v>2026</v>
      </c>
      <c r="J20" s="52">
        <v>2027</v>
      </c>
      <c r="K20" s="51">
        <v>2028</v>
      </c>
      <c r="L20" s="52">
        <v>2029</v>
      </c>
      <c r="M20" s="51">
        <v>2030</v>
      </c>
      <c r="N20" s="52">
        <v>2031</v>
      </c>
      <c r="O20" s="51">
        <v>2032</v>
      </c>
      <c r="P20" s="53">
        <v>2033</v>
      </c>
      <c r="Q20" s="2"/>
      <c r="R20" s="2"/>
      <c r="S20" s="1"/>
      <c r="T20" s="1"/>
    </row>
    <row r="21" spans="4:20" x14ac:dyDescent="0.25">
      <c r="F21" s="54" t="s">
        <v>12</v>
      </c>
      <c r="G21" s="55"/>
      <c r="H21" s="56">
        <f t="shared" ref="H21:P21" si="0">IF(COUNTBLANK($O$6:$O$16)&lt;&gt;0,"",IF(H20=$O$15,$F$33,IF($O$16&lt;=H20,99,(H20-$O$15)*$G$33+$F$33)))</f>
        <v>21</v>
      </c>
      <c r="I21" s="55">
        <f t="shared" si="0"/>
        <v>30.75</v>
      </c>
      <c r="J21" s="56">
        <f t="shared" si="0"/>
        <v>40.5</v>
      </c>
      <c r="K21" s="55">
        <f t="shared" si="0"/>
        <v>50.25</v>
      </c>
      <c r="L21" s="56">
        <f t="shared" si="0"/>
        <v>60</v>
      </c>
      <c r="M21" s="55">
        <f t="shared" si="0"/>
        <v>69.75</v>
      </c>
      <c r="N21" s="56">
        <f t="shared" si="0"/>
        <v>79.5</v>
      </c>
      <c r="O21" s="55">
        <f t="shared" si="0"/>
        <v>89.25</v>
      </c>
      <c r="P21" s="57">
        <f t="shared" si="0"/>
        <v>99</v>
      </c>
      <c r="Q21" s="2"/>
      <c r="R21" s="2"/>
      <c r="S21" s="1"/>
      <c r="T21" s="1"/>
    </row>
    <row r="22" spans="4:20" x14ac:dyDescent="0.25">
      <c r="F22" s="2"/>
      <c r="G22" s="2"/>
      <c r="H22" s="2"/>
      <c r="I22" s="2"/>
      <c r="J22" s="2"/>
      <c r="K22" s="2"/>
      <c r="L22" s="2"/>
      <c r="M22" s="2"/>
      <c r="N22" s="2"/>
      <c r="O22" s="2"/>
      <c r="P22" s="2"/>
      <c r="Q22" s="2"/>
      <c r="R22" s="2"/>
      <c r="S22" s="1"/>
      <c r="T22" s="1"/>
    </row>
    <row r="23" spans="4:20" x14ac:dyDescent="0.25">
      <c r="F23" s="9" t="s">
        <v>13</v>
      </c>
      <c r="G23" s="10"/>
      <c r="H23" s="10"/>
      <c r="I23" s="10"/>
      <c r="J23" s="2"/>
      <c r="K23" s="2"/>
      <c r="L23" s="2"/>
      <c r="M23" s="2"/>
      <c r="N23" s="2"/>
      <c r="O23" s="2"/>
      <c r="P23" s="2"/>
      <c r="Q23" s="2"/>
      <c r="R23" s="2"/>
      <c r="S23" s="1"/>
      <c r="T23" s="1"/>
    </row>
    <row r="24" spans="4:20" x14ac:dyDescent="0.25">
      <c r="F24" s="50" t="s">
        <v>11</v>
      </c>
      <c r="G24" s="60"/>
      <c r="H24" s="52">
        <v>2025</v>
      </c>
      <c r="I24" s="60">
        <v>2026</v>
      </c>
      <c r="J24" s="52">
        <v>2027</v>
      </c>
      <c r="K24" s="60">
        <v>2028</v>
      </c>
      <c r="L24" s="52">
        <v>2029</v>
      </c>
      <c r="M24" s="60">
        <v>2030</v>
      </c>
      <c r="N24" s="52">
        <v>2031</v>
      </c>
      <c r="O24" s="60">
        <v>2032</v>
      </c>
      <c r="P24" s="53">
        <v>2033</v>
      </c>
      <c r="Q24" s="2"/>
      <c r="R24" s="2"/>
      <c r="S24" s="1"/>
      <c r="T24" s="1"/>
    </row>
    <row r="25" spans="4:20" x14ac:dyDescent="0.25">
      <c r="F25" s="54" t="s">
        <v>12</v>
      </c>
      <c r="G25" s="61"/>
      <c r="H25" s="58">
        <f t="shared" ref="H25:P25" si="1">IF(COUNTBLANK($O$6:$O$16)&lt;&gt;0,"",IF(H24=$O$15,$F$33,IF($O$16&lt;=H24,99,$F$33*$H$33^(H24-$O$15))))</f>
        <v>21</v>
      </c>
      <c r="I25" s="61">
        <f t="shared" si="1"/>
        <v>25.491552283417757</v>
      </c>
      <c r="J25" s="58">
        <f t="shared" si="1"/>
        <v>30.943773229439099</v>
      </c>
      <c r="K25" s="61">
        <f t="shared" si="1"/>
        <v>37.562133958308074</v>
      </c>
      <c r="L25" s="58">
        <f t="shared" si="1"/>
        <v>45.596052460711988</v>
      </c>
      <c r="M25" s="61">
        <f t="shared" si="1"/>
        <v>55.348293105699931</v>
      </c>
      <c r="N25" s="58">
        <f t="shared" si="1"/>
        <v>67.186376547708591</v>
      </c>
      <c r="O25" s="61">
        <f t="shared" si="1"/>
        <v>81.556430023776485</v>
      </c>
      <c r="P25" s="59">
        <f t="shared" si="1"/>
        <v>99</v>
      </c>
      <c r="Q25" s="24">
        <f>P25</f>
        <v>99</v>
      </c>
      <c r="R25" s="2"/>
      <c r="S25" s="1"/>
      <c r="T25" s="1"/>
    </row>
    <row r="26" spans="4:20" x14ac:dyDescent="0.25">
      <c r="F26" s="2"/>
      <c r="Q26" s="2"/>
      <c r="R26" s="2"/>
      <c r="S26" s="1"/>
      <c r="T26" s="1"/>
    </row>
    <row r="27" spans="4:20" x14ac:dyDescent="0.25">
      <c r="F27" s="12" t="s">
        <v>14</v>
      </c>
      <c r="G27" s="12"/>
      <c r="H27" s="12"/>
      <c r="I27" s="12"/>
      <c r="J27" s="2"/>
      <c r="K27" s="2"/>
      <c r="L27" s="2"/>
      <c r="M27" s="2"/>
      <c r="N27" s="2"/>
      <c r="O27" s="2"/>
      <c r="P27" s="2"/>
      <c r="Q27" s="2"/>
      <c r="R27" s="2"/>
      <c r="S27" s="1"/>
      <c r="T27" s="1"/>
    </row>
    <row r="28" spans="4:20" x14ac:dyDescent="0.25">
      <c r="F28" s="50" t="s">
        <v>11</v>
      </c>
      <c r="G28" s="62"/>
      <c r="H28" s="52">
        <v>2025</v>
      </c>
      <c r="I28" s="62">
        <v>2026</v>
      </c>
      <c r="J28" s="52">
        <v>2027</v>
      </c>
      <c r="K28" s="62">
        <v>2028</v>
      </c>
      <c r="L28" s="52">
        <v>2029</v>
      </c>
      <c r="M28" s="62">
        <v>2030</v>
      </c>
      <c r="N28" s="52">
        <v>2031</v>
      </c>
      <c r="O28" s="62">
        <v>2032</v>
      </c>
      <c r="P28" s="53">
        <v>2033</v>
      </c>
      <c r="Q28" s="2"/>
      <c r="R28" s="2"/>
      <c r="S28" s="1"/>
      <c r="T28" s="1"/>
    </row>
    <row r="29" spans="4:20" x14ac:dyDescent="0.25">
      <c r="F29" s="54" t="s">
        <v>12</v>
      </c>
      <c r="G29" s="63"/>
      <c r="H29" s="58">
        <f>IF(COUNTBLANK($O$6:$O$16)&lt;&gt;0,"",IF(H20=$O$15,$F$33,IF($O$16&lt;=H20,99,G29+LARGE($F$35:$P$35,2))))</f>
        <v>21</v>
      </c>
      <c r="I29" s="63">
        <f>IF(COUNTBLANK($O$6:$O$16)&lt;&gt;0,"",IF(I20=$O$15,$F$33,IF($O$16&lt;=I20,99,H29+LARGE($F$35:$P$35,3))))</f>
        <v>38.443569976223515</v>
      </c>
      <c r="J29" s="58">
        <f>IF(COUNTBLANK($O$6:$O$16)&lt;&gt;0,"",IF(J20=$O$15,$F$33,IF($O$16&lt;=J20,99,I29+LARGE($F$35:$P$35,4))))</f>
        <v>52.813623452291409</v>
      </c>
      <c r="K29" s="63">
        <f>IF(COUNTBLANK($O$6:$O$16)&lt;&gt;0,"",IF(K20=$O$15,$F$33,IF($O$16&lt;=K20,99,J29+LARGE($F$35:$P$35,5))))</f>
        <v>64.651706894300077</v>
      </c>
      <c r="L29" s="58">
        <f>IF(COUNTBLANK($O$6:$O$16)&lt;&gt;0,"",IF(L20=$O$15,$F$33,IF($O$16&lt;=L20,99,K29+LARGE($F$35:$P$35,6))))</f>
        <v>74.403947539288026</v>
      </c>
      <c r="M29" s="63">
        <f>IF(COUNTBLANK($O$6:$O$16)&lt;&gt;0,"",IF(M20=$O$15,$F$33,IF($O$16&lt;=M20,99,L29+LARGE($F$35:$P$35,7))))</f>
        <v>82.437866041691933</v>
      </c>
      <c r="N29" s="58">
        <f>IF(COUNTBLANK($O$6:$O$16)&lt;&gt;0,"",IF(N20=$O$15,$F$33,IF($O$16&lt;=N20,99,M29+LARGE($F$35:$P$35,8))))</f>
        <v>89.056226770560912</v>
      </c>
      <c r="O29" s="63">
        <f>IF(COUNTBLANK($O$6:$O$16)&lt;&gt;0,"",IF(O20=$O$15,$F$33,IF($O$16&lt;=O20,99,N29+LARGE($F$35:$P$35,9))))</f>
        <v>94.508447716582253</v>
      </c>
      <c r="P29" s="59">
        <f>IF(COUNTBLANK($O$6:$O$16)&lt;&gt;0,"",IF(P20=$O$15,$F$33,IF($O$16&lt;=P20,99,O29+LARGE($F$35:$P$35,10))))</f>
        <v>99</v>
      </c>
      <c r="Q29" s="22">
        <f>P29</f>
        <v>99</v>
      </c>
    </row>
    <row r="30" spans="4:20" x14ac:dyDescent="0.25">
      <c r="G30" s="18"/>
      <c r="H30" s="18"/>
    </row>
    <row r="31" spans="4:20" x14ac:dyDescent="0.25">
      <c r="D31" s="64"/>
      <c r="E31" s="64"/>
      <c r="F31" s="64"/>
      <c r="G31" s="64"/>
      <c r="H31" s="64"/>
      <c r="I31" s="64"/>
      <c r="J31" s="64"/>
      <c r="K31" s="64"/>
      <c r="L31" s="64"/>
      <c r="M31" s="64"/>
      <c r="N31" s="64"/>
      <c r="O31" s="64"/>
      <c r="P31" s="64"/>
      <c r="Q31" s="64"/>
      <c r="R31" s="64"/>
    </row>
    <row r="32" spans="4:20" x14ac:dyDescent="0.25">
      <c r="D32" s="64"/>
      <c r="E32" s="14"/>
      <c r="F32" s="19" t="s">
        <v>15</v>
      </c>
      <c r="G32" s="19" t="s">
        <v>16</v>
      </c>
      <c r="H32" s="19" t="s">
        <v>17</v>
      </c>
      <c r="I32" s="14"/>
      <c r="J32" s="14"/>
      <c r="K32" s="14"/>
      <c r="L32" s="14"/>
      <c r="M32" s="14"/>
      <c r="N32" s="14"/>
      <c r="O32" s="14"/>
      <c r="P32" s="14"/>
      <c r="Q32" s="64"/>
      <c r="R32" s="64"/>
    </row>
    <row r="33" spans="4:18" x14ac:dyDescent="0.25">
      <c r="D33" s="64"/>
      <c r="E33" s="14"/>
      <c r="F33" s="19">
        <f>IF(COUNTBLANK(O6:O8)&lt;&gt;0,"",100*(SUM(O6:O13)/O14))</f>
        <v>21</v>
      </c>
      <c r="G33" s="20">
        <f>IF(COUNTBLANK(O6:O16)&lt;&gt;0,"",(99-F33)/(O16-O15))</f>
        <v>9.75</v>
      </c>
      <c r="H33" s="20">
        <f>IF(COUNTBLANK(O6:O16)&lt;&gt;0,"",((99/F33)^(1/(O16-O15))))</f>
        <v>1.2138834420675122</v>
      </c>
      <c r="I33" s="14"/>
      <c r="J33" s="14"/>
      <c r="K33" s="14"/>
      <c r="L33" s="14"/>
      <c r="M33" s="14"/>
      <c r="N33" s="14"/>
      <c r="O33" s="14"/>
      <c r="P33" s="14"/>
      <c r="Q33" s="64"/>
      <c r="R33" s="64"/>
    </row>
    <row r="34" spans="4:18" x14ac:dyDescent="0.25">
      <c r="D34" s="64"/>
      <c r="E34" s="14"/>
      <c r="F34" s="14"/>
      <c r="G34" s="14"/>
      <c r="H34" s="14"/>
      <c r="I34" s="14"/>
      <c r="J34" s="14"/>
      <c r="K34" s="14"/>
      <c r="L34" s="14"/>
      <c r="M34" s="14"/>
      <c r="N34" s="14"/>
      <c r="O34" s="14"/>
      <c r="P34" s="14"/>
      <c r="Q34" s="64"/>
      <c r="R34" s="64"/>
    </row>
    <row r="35" spans="4:18" x14ac:dyDescent="0.25">
      <c r="D35" s="64"/>
      <c r="E35" s="13" t="s">
        <v>28</v>
      </c>
      <c r="F35" s="16">
        <f>IF(O15=2025,LARGE(G35:P35,1),G25-F33)</f>
        <v>21</v>
      </c>
      <c r="G35" s="16">
        <f>IF((H25-G25)&lt;0,"0,0",H25-G25)</f>
        <v>21</v>
      </c>
      <c r="H35" s="16">
        <f t="shared" ref="H35:P35" si="2">IF((I25-H25)&lt;0,"0,0",I25-H25)</f>
        <v>4.4915522834177573</v>
      </c>
      <c r="I35" s="16">
        <f t="shared" si="2"/>
        <v>5.4522209460213418</v>
      </c>
      <c r="J35" s="16">
        <f t="shared" si="2"/>
        <v>6.618360728868975</v>
      </c>
      <c r="K35" s="16">
        <f t="shared" si="2"/>
        <v>8.0339185024039139</v>
      </c>
      <c r="L35" s="16">
        <f t="shared" si="2"/>
        <v>9.7522406449879426</v>
      </c>
      <c r="M35" s="16">
        <f t="shared" si="2"/>
        <v>11.83808344200866</v>
      </c>
      <c r="N35" s="16">
        <f t="shared" si="2"/>
        <v>14.370053476067895</v>
      </c>
      <c r="O35" s="16">
        <f t="shared" si="2"/>
        <v>17.443569976223515</v>
      </c>
      <c r="P35" s="16">
        <f t="shared" si="2"/>
        <v>0</v>
      </c>
      <c r="Q35" s="64"/>
      <c r="R35" s="64"/>
    </row>
    <row r="36" spans="4:18" x14ac:dyDescent="0.25">
      <c r="D36" s="64"/>
      <c r="E36" s="64"/>
      <c r="F36" s="64"/>
      <c r="G36" s="64"/>
      <c r="H36" s="64"/>
      <c r="I36" s="64"/>
      <c r="J36" s="64"/>
      <c r="K36" s="64"/>
      <c r="L36" s="64"/>
      <c r="M36" s="64"/>
      <c r="N36" s="64"/>
      <c r="O36" s="64"/>
      <c r="P36" s="64"/>
      <c r="Q36" s="64"/>
      <c r="R36" s="64"/>
    </row>
    <row r="37" spans="4:18" x14ac:dyDescent="0.25">
      <c r="D37" s="64"/>
      <c r="E37" s="64"/>
      <c r="F37" s="64"/>
      <c r="G37" s="64"/>
      <c r="H37" s="64"/>
      <c r="I37" s="64"/>
      <c r="J37" s="64"/>
      <c r="K37" s="64"/>
      <c r="L37" s="64"/>
      <c r="M37" s="64"/>
      <c r="N37" s="64"/>
      <c r="O37" s="64"/>
      <c r="P37" s="64"/>
      <c r="Q37" s="64"/>
      <c r="R37" s="64"/>
    </row>
    <row r="38" spans="4:18" x14ac:dyDescent="0.25">
      <c r="D38" s="64"/>
      <c r="E38" s="64"/>
      <c r="F38" s="64"/>
      <c r="G38" s="64"/>
      <c r="H38" s="64"/>
      <c r="I38" s="64"/>
      <c r="J38" s="64"/>
      <c r="K38" s="64"/>
      <c r="L38" s="64"/>
      <c r="M38" s="64"/>
      <c r="N38" s="64"/>
      <c r="O38" s="64"/>
      <c r="P38" s="64"/>
      <c r="Q38" s="64"/>
      <c r="R38" s="64"/>
    </row>
    <row r="39" spans="4:18" x14ac:dyDescent="0.25">
      <c r="D39" s="64"/>
      <c r="E39" s="64"/>
      <c r="F39" s="64"/>
      <c r="G39" s="64"/>
      <c r="H39" s="64"/>
      <c r="I39" s="64"/>
      <c r="J39" s="64"/>
      <c r="K39" s="64"/>
      <c r="L39" s="64"/>
      <c r="M39" s="64"/>
      <c r="N39" s="64"/>
      <c r="O39" s="64"/>
      <c r="P39" s="64"/>
      <c r="Q39" s="64"/>
      <c r="R39" s="64"/>
    </row>
    <row r="40" spans="4:18" x14ac:dyDescent="0.25">
      <c r="D40" s="64"/>
      <c r="E40" s="64"/>
      <c r="F40" s="64"/>
      <c r="G40" s="64"/>
      <c r="H40" s="64"/>
      <c r="I40" s="64"/>
      <c r="J40" s="64"/>
      <c r="K40" s="64"/>
      <c r="L40" s="64"/>
      <c r="M40" s="64"/>
      <c r="N40" s="64"/>
      <c r="O40" s="64"/>
      <c r="P40" s="64"/>
      <c r="Q40" s="64"/>
      <c r="R40" s="64"/>
    </row>
  </sheetData>
  <sheetProtection sheet="1" objects="1" scenarios="1" selectLockedCells="1"/>
  <mergeCells count="11">
    <mergeCell ref="P11:AL11"/>
    <mergeCell ref="P6:AL6"/>
    <mergeCell ref="P7:AL7"/>
    <mergeCell ref="P8:AL8"/>
    <mergeCell ref="P9:AL9"/>
    <mergeCell ref="P10:AL10"/>
    <mergeCell ref="P12:AA12"/>
    <mergeCell ref="P13:AA13"/>
    <mergeCell ref="P14:AI14"/>
    <mergeCell ref="P15:R15"/>
    <mergeCell ref="P16:W16"/>
  </mergeCells>
  <dataValidations count="1">
    <dataValidation type="whole" errorStyle="warning" allowBlank="1" showDropDown="1" showInputMessage="1" showErrorMessage="1" errorTitle="Ano inválido" error="É recomendado que sejam inseridas informações de 2020, 2021, 2022, 2023 ou 2024." sqref="O15" xr:uid="{00000000-0002-0000-0200-000000000000}">
      <formula1>2021</formula1>
      <formula2>2025</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200-000001000000}">
          <x14:formula1>
            <xm:f>Auxiliar!$B$2:$B$9</xm:f>
          </x14:formula1>
          <xm:sqref>O16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AL42"/>
  <sheetViews>
    <sheetView showGridLines="0" zoomScaleNormal="100" workbookViewId="0">
      <selection activeCell="O6" sqref="O6"/>
    </sheetView>
  </sheetViews>
  <sheetFormatPr defaultRowHeight="15" x14ac:dyDescent="0.25"/>
  <cols>
    <col min="1" max="1" width="1.7109375" style="66" customWidth="1"/>
    <col min="18" max="18" width="11.5703125" bestFit="1" customWidth="1"/>
  </cols>
  <sheetData>
    <row r="1" spans="6:38" s="66" customFormat="1" ht="8.25" customHeight="1" x14ac:dyDescent="0.25"/>
    <row r="3" spans="6:38" ht="12.75" customHeight="1" x14ac:dyDescent="0.25">
      <c r="F3" s="5" t="s">
        <v>29</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4" t="s">
        <v>30</v>
      </c>
      <c r="G6" s="35"/>
      <c r="H6" s="35"/>
      <c r="I6" s="35"/>
      <c r="J6" s="35"/>
      <c r="K6" s="35"/>
      <c r="L6" s="35"/>
      <c r="M6" s="35"/>
      <c r="N6" s="36"/>
      <c r="O6" s="37">
        <v>100</v>
      </c>
      <c r="P6" s="77" t="s">
        <v>3</v>
      </c>
      <c r="Q6" s="78"/>
      <c r="R6" s="78"/>
      <c r="S6" s="78"/>
      <c r="T6" s="78"/>
      <c r="U6" s="78"/>
      <c r="V6" s="78"/>
      <c r="W6" s="78"/>
      <c r="X6" s="78"/>
      <c r="Y6" s="78"/>
      <c r="Z6" s="78"/>
      <c r="AA6" s="78"/>
      <c r="AB6" s="78"/>
      <c r="AC6" s="78"/>
      <c r="AD6" s="78"/>
      <c r="AE6" s="78"/>
      <c r="AF6" s="78"/>
      <c r="AG6" s="78"/>
      <c r="AH6" s="78"/>
      <c r="AI6" s="78"/>
      <c r="AJ6" s="78"/>
      <c r="AK6" s="78"/>
      <c r="AL6" s="78"/>
    </row>
    <row r="7" spans="6:38" x14ac:dyDescent="0.25">
      <c r="F7" s="34" t="s">
        <v>31</v>
      </c>
      <c r="G7" s="35"/>
      <c r="H7" s="35"/>
      <c r="I7" s="35"/>
      <c r="J7" s="35"/>
      <c r="K7" s="35"/>
      <c r="L7" s="35"/>
      <c r="M7" s="35"/>
      <c r="N7" s="36"/>
      <c r="O7" s="37">
        <v>100</v>
      </c>
      <c r="P7" s="8" t="s">
        <v>94</v>
      </c>
      <c r="Q7" s="1"/>
      <c r="T7" s="1"/>
    </row>
    <row r="8" spans="6:38" x14ac:dyDescent="0.25">
      <c r="F8" s="34" t="s">
        <v>5</v>
      </c>
      <c r="G8" s="35"/>
      <c r="H8" s="35"/>
      <c r="I8" s="35"/>
      <c r="J8" s="35"/>
      <c r="K8" s="35"/>
      <c r="L8" s="35"/>
      <c r="M8" s="35"/>
      <c r="N8" s="36"/>
      <c r="O8" s="37">
        <v>1000</v>
      </c>
      <c r="P8" s="8" t="s">
        <v>6</v>
      </c>
      <c r="Q8" s="1"/>
      <c r="T8" s="1"/>
    </row>
    <row r="9" spans="6:38" x14ac:dyDescent="0.25">
      <c r="F9" s="34" t="s">
        <v>7</v>
      </c>
      <c r="G9" s="38"/>
      <c r="H9" s="38"/>
      <c r="I9" s="38"/>
      <c r="J9" s="38"/>
      <c r="K9" s="38"/>
      <c r="L9" s="38"/>
      <c r="M9" s="38"/>
      <c r="N9" s="36"/>
      <c r="O9" s="37">
        <v>2025</v>
      </c>
      <c r="P9" s="8" t="s">
        <v>92</v>
      </c>
      <c r="Q9" s="2"/>
      <c r="R9" s="2"/>
      <c r="S9" s="2"/>
      <c r="T9" s="1"/>
    </row>
    <row r="10" spans="6:38" x14ac:dyDescent="0.25">
      <c r="F10" s="34" t="s">
        <v>32</v>
      </c>
      <c r="G10" s="38"/>
      <c r="H10" s="38"/>
      <c r="I10" s="38"/>
      <c r="J10" s="38"/>
      <c r="K10" s="38"/>
      <c r="L10" s="38"/>
      <c r="M10" s="38"/>
      <c r="N10" s="36"/>
      <c r="O10" s="37">
        <v>2033</v>
      </c>
      <c r="P10" s="8" t="s">
        <v>9</v>
      </c>
      <c r="Q10" s="2"/>
      <c r="R10" s="2"/>
      <c r="S10" s="2"/>
      <c r="T10" s="1"/>
    </row>
    <row r="11" spans="6:38" x14ac:dyDescent="0.25">
      <c r="F11" s="40" t="str">
        <f>IF(COUNTBLANK(O6:O10)=0,CONCATENATE("O IAE do seu município em ",O9, " é de ",ROUND(F27,1),"%"),"")</f>
        <v>O IAE do seu município em 2025 é de 20%</v>
      </c>
      <c r="G11" s="40"/>
      <c r="H11" s="40"/>
      <c r="I11" s="40"/>
      <c r="J11" s="40"/>
      <c r="K11" s="40"/>
      <c r="L11" s="40"/>
      <c r="M11" s="40"/>
      <c r="N11" s="40"/>
      <c r="O11" s="40"/>
      <c r="P11" s="2"/>
      <c r="Q11" s="2"/>
      <c r="R11" s="2"/>
      <c r="S11" s="1"/>
      <c r="T11" s="1"/>
    </row>
    <row r="13" spans="6:38" x14ac:dyDescent="0.25">
      <c r="F13" s="4" t="s">
        <v>10</v>
      </c>
      <c r="G13" s="11"/>
      <c r="H13" s="11"/>
      <c r="I13" s="11"/>
      <c r="J13" s="11"/>
      <c r="K13" s="2"/>
      <c r="L13" s="2"/>
      <c r="M13" s="2"/>
      <c r="N13" s="2"/>
      <c r="O13" s="2"/>
      <c r="P13" s="2"/>
      <c r="Q13" s="2"/>
      <c r="R13" s="2"/>
      <c r="S13" s="1"/>
      <c r="T13" s="1"/>
    </row>
    <row r="14" spans="6:38" x14ac:dyDescent="0.25">
      <c r="F14" s="50" t="s">
        <v>11</v>
      </c>
      <c r="G14" s="51"/>
      <c r="H14" s="52">
        <v>2025</v>
      </c>
      <c r="I14" s="51">
        <v>2026</v>
      </c>
      <c r="J14" s="52">
        <v>2027</v>
      </c>
      <c r="K14" s="51">
        <v>2028</v>
      </c>
      <c r="L14" s="52">
        <v>2029</v>
      </c>
      <c r="M14" s="51">
        <v>2030</v>
      </c>
      <c r="N14" s="52">
        <v>2031</v>
      </c>
      <c r="O14" s="51">
        <v>2032</v>
      </c>
      <c r="P14" s="53">
        <v>2033</v>
      </c>
      <c r="Q14" s="2"/>
      <c r="R14" s="2"/>
      <c r="S14" s="1"/>
      <c r="T14" s="1"/>
    </row>
    <row r="15" spans="6:38" x14ac:dyDescent="0.25">
      <c r="F15" s="54" t="s">
        <v>12</v>
      </c>
      <c r="G15" s="55"/>
      <c r="H15" s="56">
        <f>IF(COUNTBLANK($O$6:$O$10)&lt;&gt;0,"",IF(H14=$O$9,$F$27,IF($O$10&lt;=H14,90,(H14-$O$9)*$G$27+$F$27)))</f>
        <v>20</v>
      </c>
      <c r="I15" s="55">
        <f t="shared" ref="I15:P15" si="0">IF(COUNTBLANK($O$6:$O$10)&lt;&gt;0,"",IF(I14=$O$9,$F$27,IF($O$10&lt;=I14,90,(I14-$O$9)*$G$27+$F$27)))</f>
        <v>28.75</v>
      </c>
      <c r="J15" s="56">
        <f t="shared" si="0"/>
        <v>37.5</v>
      </c>
      <c r="K15" s="55">
        <f t="shared" si="0"/>
        <v>46.25</v>
      </c>
      <c r="L15" s="56">
        <f t="shared" si="0"/>
        <v>55</v>
      </c>
      <c r="M15" s="55">
        <f t="shared" si="0"/>
        <v>63.75</v>
      </c>
      <c r="N15" s="56">
        <f t="shared" si="0"/>
        <v>72.5</v>
      </c>
      <c r="O15" s="55">
        <f t="shared" si="0"/>
        <v>81.25</v>
      </c>
      <c r="P15" s="57">
        <f t="shared" si="0"/>
        <v>90</v>
      </c>
      <c r="Q15" s="2"/>
      <c r="R15" s="2"/>
      <c r="S15" s="1"/>
      <c r="T15" s="1"/>
    </row>
    <row r="16" spans="6:38" x14ac:dyDescent="0.25">
      <c r="F16" s="2"/>
      <c r="G16" s="2"/>
      <c r="H16" s="2"/>
      <c r="I16" s="2"/>
      <c r="J16" s="2"/>
      <c r="K16" s="2"/>
      <c r="L16" s="2"/>
      <c r="M16" s="2"/>
      <c r="N16" s="2"/>
      <c r="O16" s="2"/>
      <c r="P16" s="2"/>
      <c r="Q16" s="2"/>
      <c r="R16" s="2"/>
      <c r="S16" s="1"/>
      <c r="T16" s="1"/>
    </row>
    <row r="17" spans="3:20" x14ac:dyDescent="0.25">
      <c r="F17" s="9" t="s">
        <v>13</v>
      </c>
      <c r="G17" s="10"/>
      <c r="H17" s="10"/>
      <c r="I17" s="10"/>
      <c r="J17" s="2"/>
      <c r="K17" s="2"/>
      <c r="L17" s="2"/>
      <c r="M17" s="2"/>
      <c r="N17" s="2"/>
      <c r="O17" s="2"/>
      <c r="P17" s="2"/>
      <c r="Q17" s="2"/>
      <c r="R17" s="2"/>
      <c r="S17" s="1"/>
      <c r="T17" s="1"/>
    </row>
    <row r="18" spans="3:20" x14ac:dyDescent="0.25">
      <c r="F18" s="50" t="s">
        <v>11</v>
      </c>
      <c r="G18" s="60"/>
      <c r="H18" s="52">
        <v>2025</v>
      </c>
      <c r="I18" s="60">
        <v>2026</v>
      </c>
      <c r="J18" s="52">
        <v>2027</v>
      </c>
      <c r="K18" s="60">
        <v>2028</v>
      </c>
      <c r="L18" s="52">
        <v>2029</v>
      </c>
      <c r="M18" s="60">
        <v>2030</v>
      </c>
      <c r="N18" s="52">
        <v>2031</v>
      </c>
      <c r="O18" s="60">
        <v>2032</v>
      </c>
      <c r="P18" s="53">
        <v>2033</v>
      </c>
      <c r="Q18" s="2"/>
      <c r="R18" s="2"/>
      <c r="S18" s="1"/>
      <c r="T18" s="1"/>
    </row>
    <row r="19" spans="3:20" x14ac:dyDescent="0.25">
      <c r="F19" s="54" t="s">
        <v>12</v>
      </c>
      <c r="G19" s="61"/>
      <c r="H19" s="58">
        <f>IF(COUNTBLANK($O$6:$O$10)&lt;&gt;0,"",IF(H18=$O$9,$F$27,IF($O$10&lt;=H18,90,$F$27*$H$27^(H18-$O$9))))</f>
        <v>20</v>
      </c>
      <c r="I19" s="61">
        <f t="shared" ref="I19:P19" si="1">IF(COUNTBLANK($O$6:$O$10)&lt;&gt;0,"",IF(I18=$O$9,$F$27,IF($O$10&lt;=I18,90,$F$27*$H$27^(I18-$O$9))))</f>
        <v>24.136903820680651</v>
      </c>
      <c r="J19" s="58">
        <f t="shared" si="1"/>
        <v>29.12950630243941</v>
      </c>
      <c r="K19" s="61">
        <f t="shared" si="1"/>
        <v>35.15480459829454</v>
      </c>
      <c r="L19" s="58">
        <f t="shared" si="1"/>
        <v>42.426406871192867</v>
      </c>
      <c r="M19" s="61">
        <f t="shared" si="1"/>
        <v>51.202105105352345</v>
      </c>
      <c r="N19" s="58">
        <f t="shared" si="1"/>
        <v>61.793014317213562</v>
      </c>
      <c r="O19" s="61">
        <f t="shared" si="1"/>
        <v>74.574602168226306</v>
      </c>
      <c r="P19" s="59">
        <f t="shared" si="1"/>
        <v>90</v>
      </c>
      <c r="Q19" s="24">
        <f>P19</f>
        <v>90</v>
      </c>
      <c r="R19" s="2"/>
      <c r="S19" s="1"/>
      <c r="T19" s="1"/>
    </row>
    <row r="20" spans="3:20" x14ac:dyDescent="0.25">
      <c r="F20" s="2"/>
      <c r="Q20" s="2"/>
      <c r="R20" s="2"/>
      <c r="S20" s="1"/>
      <c r="T20" s="1"/>
    </row>
    <row r="21" spans="3:20" x14ac:dyDescent="0.25">
      <c r="F21" s="12" t="s">
        <v>14</v>
      </c>
      <c r="G21" s="12"/>
      <c r="H21" s="12"/>
      <c r="I21" s="12"/>
      <c r="J21" s="2"/>
      <c r="K21" s="2"/>
      <c r="L21" s="2"/>
      <c r="M21" s="2"/>
      <c r="N21" s="2"/>
      <c r="O21" s="2"/>
      <c r="P21" s="2"/>
      <c r="Q21" s="2"/>
      <c r="R21" s="2"/>
      <c r="S21" s="1"/>
      <c r="T21" s="1"/>
    </row>
    <row r="22" spans="3:20" x14ac:dyDescent="0.25">
      <c r="F22" s="50" t="s">
        <v>11</v>
      </c>
      <c r="G22" s="62"/>
      <c r="H22" s="52">
        <v>2025</v>
      </c>
      <c r="I22" s="62">
        <v>2026</v>
      </c>
      <c r="J22" s="52">
        <v>2027</v>
      </c>
      <c r="K22" s="62">
        <v>2028</v>
      </c>
      <c r="L22" s="52">
        <v>2029</v>
      </c>
      <c r="M22" s="62">
        <v>2030</v>
      </c>
      <c r="N22" s="52">
        <v>2031</v>
      </c>
      <c r="O22" s="62">
        <v>2032</v>
      </c>
      <c r="P22" s="53">
        <v>2033</v>
      </c>
      <c r="Q22" s="2"/>
      <c r="R22" s="2"/>
      <c r="S22" s="1"/>
      <c r="T22" s="1"/>
    </row>
    <row r="23" spans="3:20" x14ac:dyDescent="0.25">
      <c r="F23" s="54" t="s">
        <v>12</v>
      </c>
      <c r="G23" s="63"/>
      <c r="H23" s="58">
        <f>IF(COUNTBLANK($O$6:$O$10)&lt;&gt;0,"",IF(H14=$O$9,$F$27,IF($O$10&lt;=H14,90,G23+LARGE($F$29:$P$29,2))))</f>
        <v>20</v>
      </c>
      <c r="I23" s="63">
        <f>IF(COUNTBLANK($O$6:$O$10)&lt;&gt;0,"",IF(I14=$O$9,$F$27,IF($O$10&lt;=I14,90,H23+LARGE($F$29:$P$29,3))))</f>
        <v>35.425397831773694</v>
      </c>
      <c r="J23" s="58">
        <f>IF(COUNTBLANK($O$6:$O$10)&lt;&gt;0,"",IF(J14=$O$9,$F$27,IF($O$10&lt;=J14,90,I23+LARGE($F$29:$P$29,4))))</f>
        <v>48.206985682786438</v>
      </c>
      <c r="K23" s="63">
        <f>IF(COUNTBLANK($O$6:$O$10)&lt;&gt;0,"",IF(K14=$O$9,$F$27,IF($O$10&lt;=K14,90,J23+LARGE($F$29:$P$29,5))))</f>
        <v>58.797894894647655</v>
      </c>
      <c r="L23" s="58">
        <f>IF(COUNTBLANK($O$6:$O$10)&lt;&gt;0,"",IF(L14=$O$9,$F$27,IF($O$10&lt;=L14,90,K23+LARGE($F$29:$P$29,6))))</f>
        <v>67.573593128807133</v>
      </c>
      <c r="M23" s="63">
        <f>IF(COUNTBLANK($O$6:$O$10)&lt;&gt;0,"",IF(M14=$O$9,$F$27,IF($O$10&lt;=M14,90,L23+LARGE($F$29:$P$29,7))))</f>
        <v>74.845195401705467</v>
      </c>
      <c r="N23" s="58">
        <f>IF(COUNTBLANK($O$6:$O$10)&lt;&gt;0,"",IF(N14=$O$9,$F$27,IF($O$10&lt;=N14,90,M23+LARGE($F$29:$P$29,8))))</f>
        <v>80.87049369756059</v>
      </c>
      <c r="O23" s="63">
        <f>IF(COUNTBLANK($O$6:$O$10)&lt;&gt;0,"",IF(O14=$O$9,$F$27,IF($O$10&lt;=O14,90,N23+LARGE($F$29:$P$29,9))))</f>
        <v>85.863096179319342</v>
      </c>
      <c r="P23" s="59">
        <f>IF(COUNTBLANK($O$6:$O$10)&lt;&gt;0,"",IF(P14=$O$9,$F$27,IF($O$10&lt;=P14,90,O23+LARGE($F$29:$P$29,10))))</f>
        <v>90</v>
      </c>
      <c r="Q23" s="22">
        <f>P23</f>
        <v>90</v>
      </c>
    </row>
    <row r="24" spans="3:20" x14ac:dyDescent="0.25">
      <c r="C24" s="64"/>
      <c r="D24" s="64"/>
      <c r="E24" s="64"/>
      <c r="F24" s="64"/>
      <c r="G24" s="64"/>
      <c r="H24" s="64"/>
      <c r="I24" s="64"/>
      <c r="J24" s="64"/>
      <c r="K24" s="64"/>
      <c r="L24" s="64"/>
      <c r="M24" s="64"/>
      <c r="N24" s="64"/>
      <c r="O24" s="64"/>
      <c r="P24" s="64"/>
      <c r="Q24" s="64"/>
      <c r="R24" s="64"/>
      <c r="S24" s="64"/>
    </row>
    <row r="25" spans="3:20" x14ac:dyDescent="0.25">
      <c r="C25" s="64"/>
      <c r="D25" s="64"/>
      <c r="E25" s="14"/>
      <c r="F25" s="14"/>
      <c r="G25" s="14"/>
      <c r="H25" s="14"/>
      <c r="I25" s="14"/>
      <c r="J25" s="14"/>
      <c r="K25" s="14"/>
      <c r="L25" s="14"/>
      <c r="M25" s="14"/>
      <c r="N25" s="14"/>
      <c r="O25" s="14"/>
      <c r="P25" s="14"/>
      <c r="Q25" s="64"/>
      <c r="R25" s="64"/>
      <c r="S25" s="64"/>
    </row>
    <row r="26" spans="3:20" x14ac:dyDescent="0.25">
      <c r="C26" s="64"/>
      <c r="D26" s="64"/>
      <c r="E26" s="14"/>
      <c r="F26" s="13" t="s">
        <v>15</v>
      </c>
      <c r="G26" s="13" t="s">
        <v>16</v>
      </c>
      <c r="H26" s="13" t="s">
        <v>17</v>
      </c>
      <c r="I26" s="14"/>
      <c r="J26" s="14"/>
      <c r="K26" s="14"/>
      <c r="L26" s="14"/>
      <c r="M26" s="14"/>
      <c r="N26" s="14"/>
      <c r="O26" s="14"/>
      <c r="P26" s="14"/>
      <c r="Q26" s="64"/>
      <c r="R26" s="64"/>
      <c r="S26" s="64"/>
    </row>
    <row r="27" spans="3:20" x14ac:dyDescent="0.25">
      <c r="C27" s="64"/>
      <c r="D27" s="64"/>
      <c r="E27" s="14"/>
      <c r="F27" s="13">
        <f>IF(COUNTBLANK(O6:O8)&lt;&gt;0,"",100*(O7+O6)/O8)</f>
        <v>20</v>
      </c>
      <c r="G27" s="15">
        <f>IF(COUNTBLANK(O6:O10)&lt;&gt;0,"",(90-F27)/(O10-O9))</f>
        <v>8.75</v>
      </c>
      <c r="H27" s="15">
        <f>IF(COUNTBLANK(O6:O10)&lt;&gt;0,"",((90/F27)^(1/(O10-O9))))</f>
        <v>1.2068451910340325</v>
      </c>
      <c r="I27" s="14"/>
      <c r="J27" s="14"/>
      <c r="K27" s="14"/>
      <c r="L27" s="14"/>
      <c r="M27" s="14"/>
      <c r="N27" s="14"/>
      <c r="O27" s="14"/>
      <c r="P27" s="14"/>
      <c r="Q27" s="64"/>
      <c r="R27" s="64"/>
      <c r="S27" s="64"/>
    </row>
    <row r="28" spans="3:20" x14ac:dyDescent="0.25">
      <c r="C28" s="64"/>
      <c r="D28" s="64"/>
      <c r="E28" s="14"/>
      <c r="F28" s="14"/>
      <c r="G28" s="14"/>
      <c r="H28" s="14"/>
      <c r="I28" s="14"/>
      <c r="J28" s="14"/>
      <c r="K28" s="14"/>
      <c r="L28" s="14"/>
      <c r="M28" s="14"/>
      <c r="N28" s="14"/>
      <c r="O28" s="14"/>
      <c r="P28" s="14"/>
      <c r="Q28" s="64"/>
      <c r="R28" s="64"/>
      <c r="S28" s="64"/>
    </row>
    <row r="29" spans="3:20" x14ac:dyDescent="0.25">
      <c r="C29" s="64"/>
      <c r="D29" s="64"/>
      <c r="E29" s="13" t="s">
        <v>18</v>
      </c>
      <c r="F29" s="16">
        <f>IF(O9=2025,LARGE(G29:P29,1),H19-F27)</f>
        <v>20</v>
      </c>
      <c r="G29" s="16">
        <f>IF((H19-G19)&lt;0,"0,0",H19-G19)</f>
        <v>20</v>
      </c>
      <c r="H29" s="16">
        <f t="shared" ref="H29:P29" si="2">IF((I19-H19)&lt;0,"0,0",I19-H19)</f>
        <v>4.1369038206806508</v>
      </c>
      <c r="I29" s="16">
        <f t="shared" si="2"/>
        <v>4.9926024817587589</v>
      </c>
      <c r="J29" s="16">
        <f t="shared" si="2"/>
        <v>6.02529829585513</v>
      </c>
      <c r="K29" s="16">
        <f t="shared" si="2"/>
        <v>7.2716022728983276</v>
      </c>
      <c r="L29" s="16">
        <f t="shared" si="2"/>
        <v>8.7756982341594778</v>
      </c>
      <c r="M29" s="16">
        <f t="shared" si="2"/>
        <v>10.590909211861216</v>
      </c>
      <c r="N29" s="16">
        <f t="shared" si="2"/>
        <v>12.781587851012745</v>
      </c>
      <c r="O29" s="16">
        <f t="shared" si="2"/>
        <v>15.425397831773694</v>
      </c>
      <c r="P29" s="16">
        <f t="shared" si="2"/>
        <v>0</v>
      </c>
      <c r="Q29" s="64"/>
      <c r="R29" s="64"/>
      <c r="S29" s="64"/>
    </row>
    <row r="30" spans="3:20" x14ac:dyDescent="0.25">
      <c r="C30" s="64"/>
      <c r="D30" s="64"/>
      <c r="E30" s="14"/>
      <c r="F30" s="14"/>
      <c r="G30" s="14"/>
      <c r="H30" s="14"/>
      <c r="I30" s="14"/>
      <c r="J30" s="14"/>
      <c r="K30" s="14"/>
      <c r="L30" s="14"/>
      <c r="M30" s="14"/>
      <c r="N30" s="14"/>
      <c r="O30" s="14"/>
      <c r="P30" s="14"/>
      <c r="Q30" s="64"/>
      <c r="R30" s="64"/>
      <c r="S30" s="64"/>
    </row>
    <row r="31" spans="3:20" x14ac:dyDescent="0.25">
      <c r="C31" s="64"/>
      <c r="D31" s="64"/>
      <c r="E31" s="14"/>
      <c r="F31" s="14"/>
      <c r="G31" s="14"/>
      <c r="H31" s="14"/>
      <c r="I31" s="14"/>
      <c r="J31" s="14"/>
      <c r="K31" s="14"/>
      <c r="L31" s="14"/>
      <c r="M31" s="14"/>
      <c r="N31" s="14"/>
      <c r="O31" s="14"/>
      <c r="P31" s="14"/>
      <c r="Q31" s="64"/>
      <c r="R31" s="64"/>
      <c r="S31" s="64"/>
    </row>
    <row r="32" spans="3:20" x14ac:dyDescent="0.25">
      <c r="C32" s="64"/>
      <c r="D32" s="64"/>
      <c r="E32" s="64"/>
      <c r="F32" s="64"/>
      <c r="G32" s="64"/>
      <c r="H32" s="64"/>
      <c r="I32" s="64"/>
      <c r="J32" s="64"/>
      <c r="K32" s="64"/>
      <c r="L32" s="64"/>
      <c r="M32" s="64"/>
      <c r="N32" s="64"/>
      <c r="O32" s="64"/>
      <c r="P32" s="64"/>
      <c r="Q32" s="64"/>
      <c r="R32" s="64"/>
      <c r="S32" s="64"/>
    </row>
    <row r="33" spans="3:19" x14ac:dyDescent="0.25">
      <c r="C33" s="64"/>
      <c r="D33" s="64"/>
      <c r="E33" s="64"/>
      <c r="F33" s="64"/>
      <c r="G33" s="64"/>
      <c r="H33" s="64"/>
      <c r="I33" s="64"/>
      <c r="J33" s="64"/>
      <c r="K33" s="64"/>
      <c r="L33" s="64"/>
      <c r="M33" s="64"/>
      <c r="N33" s="64"/>
      <c r="O33" s="64"/>
      <c r="P33" s="64"/>
      <c r="Q33" s="64"/>
      <c r="R33" s="64"/>
      <c r="S33" s="64"/>
    </row>
    <row r="34" spans="3:19" x14ac:dyDescent="0.25">
      <c r="C34" s="64"/>
      <c r="D34" s="64"/>
      <c r="E34" s="64"/>
      <c r="F34" s="64"/>
      <c r="G34" s="64"/>
      <c r="H34" s="64"/>
      <c r="I34" s="64"/>
      <c r="J34" s="64"/>
      <c r="K34" s="64"/>
      <c r="L34" s="64"/>
      <c r="M34" s="64"/>
      <c r="N34" s="64"/>
      <c r="O34" s="64"/>
      <c r="P34" s="64"/>
      <c r="Q34" s="64"/>
      <c r="R34" s="64"/>
      <c r="S34" s="64"/>
    </row>
    <row r="35" spans="3:19" x14ac:dyDescent="0.25">
      <c r="C35" s="64"/>
      <c r="D35" s="64"/>
      <c r="E35" s="64"/>
      <c r="F35" s="64"/>
      <c r="G35" s="64"/>
      <c r="H35" s="64"/>
      <c r="I35" s="64"/>
      <c r="J35" s="64"/>
      <c r="K35" s="64"/>
      <c r="L35" s="64"/>
      <c r="M35" s="64"/>
      <c r="N35" s="64"/>
      <c r="O35" s="64"/>
      <c r="P35" s="64"/>
      <c r="Q35" s="64"/>
      <c r="R35" s="64"/>
      <c r="S35" s="64"/>
    </row>
    <row r="36" spans="3:19" x14ac:dyDescent="0.25">
      <c r="C36" s="64"/>
      <c r="D36" s="64"/>
      <c r="E36" s="64"/>
      <c r="F36" s="64"/>
      <c r="G36" s="64"/>
      <c r="H36" s="64"/>
      <c r="I36" s="64"/>
      <c r="J36" s="64"/>
      <c r="K36" s="64"/>
      <c r="L36" s="64"/>
      <c r="M36" s="64"/>
      <c r="N36" s="64"/>
      <c r="O36" s="64"/>
      <c r="P36" s="64"/>
      <c r="Q36" s="64"/>
      <c r="R36" s="64"/>
      <c r="S36" s="64"/>
    </row>
    <row r="37" spans="3:19" x14ac:dyDescent="0.25">
      <c r="C37" s="64"/>
      <c r="D37" s="64"/>
      <c r="E37" s="64"/>
      <c r="F37" s="64"/>
      <c r="G37" s="64"/>
      <c r="H37" s="64"/>
      <c r="I37" s="64"/>
      <c r="J37" s="64"/>
      <c r="K37" s="64"/>
      <c r="L37" s="64"/>
      <c r="M37" s="64"/>
      <c r="N37" s="64"/>
      <c r="O37" s="64"/>
      <c r="P37" s="64"/>
      <c r="Q37" s="64"/>
      <c r="R37" s="64"/>
      <c r="S37" s="64"/>
    </row>
    <row r="38" spans="3:19" x14ac:dyDescent="0.25">
      <c r="C38" s="64"/>
      <c r="D38" s="64"/>
      <c r="E38" s="64"/>
      <c r="F38" s="64"/>
      <c r="G38" s="64"/>
      <c r="H38" s="64"/>
      <c r="I38" s="64"/>
      <c r="J38" s="64"/>
      <c r="K38" s="64"/>
      <c r="L38" s="64"/>
      <c r="M38" s="64"/>
      <c r="N38" s="64"/>
      <c r="O38" s="64"/>
      <c r="P38" s="64"/>
      <c r="Q38" s="64"/>
      <c r="R38" s="64"/>
      <c r="S38" s="64"/>
    </row>
    <row r="39" spans="3:19" x14ac:dyDescent="0.25">
      <c r="C39" s="64"/>
      <c r="D39" s="64"/>
      <c r="E39" s="64"/>
      <c r="F39" s="64"/>
      <c r="G39" s="64"/>
      <c r="H39" s="64"/>
      <c r="I39" s="64"/>
      <c r="J39" s="64"/>
      <c r="K39" s="64"/>
      <c r="L39" s="64"/>
      <c r="M39" s="64"/>
      <c r="N39" s="64"/>
      <c r="O39" s="64"/>
      <c r="P39" s="64"/>
      <c r="Q39" s="64"/>
      <c r="R39" s="64"/>
      <c r="S39" s="64"/>
    </row>
    <row r="40" spans="3:19" x14ac:dyDescent="0.25">
      <c r="C40" s="64"/>
      <c r="D40" s="64"/>
      <c r="E40" s="64"/>
      <c r="F40" s="64"/>
      <c r="G40" s="64"/>
      <c r="H40" s="64"/>
      <c r="I40" s="64"/>
      <c r="J40" s="64"/>
      <c r="K40" s="64"/>
      <c r="L40" s="64"/>
      <c r="M40" s="64"/>
      <c r="N40" s="64"/>
      <c r="O40" s="64"/>
      <c r="P40" s="64"/>
      <c r="Q40" s="64"/>
      <c r="R40" s="64"/>
      <c r="S40" s="64"/>
    </row>
    <row r="41" spans="3:19" x14ac:dyDescent="0.25">
      <c r="C41" s="64"/>
      <c r="D41" s="64"/>
      <c r="E41" s="64"/>
      <c r="F41" s="64"/>
      <c r="G41" s="64"/>
      <c r="H41" s="64"/>
      <c r="I41" s="64"/>
      <c r="J41" s="64"/>
      <c r="K41" s="64"/>
      <c r="L41" s="64"/>
      <c r="M41" s="64"/>
      <c r="N41" s="64"/>
      <c r="O41" s="64"/>
      <c r="P41" s="64"/>
      <c r="Q41" s="64"/>
      <c r="R41" s="64"/>
      <c r="S41" s="64"/>
    </row>
    <row r="42" spans="3:19" x14ac:dyDescent="0.25">
      <c r="C42" s="64"/>
      <c r="D42" s="64"/>
      <c r="E42" s="64"/>
      <c r="F42" s="64"/>
      <c r="G42" s="64"/>
      <c r="H42" s="64"/>
      <c r="I42" s="64"/>
      <c r="J42" s="64"/>
      <c r="K42" s="64"/>
      <c r="L42" s="64"/>
      <c r="M42" s="64"/>
      <c r="N42" s="64"/>
      <c r="O42" s="64"/>
      <c r="P42" s="64"/>
      <c r="Q42" s="64"/>
      <c r="R42" s="64"/>
      <c r="S42" s="64"/>
    </row>
  </sheetData>
  <sheetProtection sheet="1" objects="1" scenarios="1" selectLockedCells="1"/>
  <mergeCells count="1">
    <mergeCell ref="P6:AL6"/>
  </mergeCells>
  <dataValidations count="1">
    <dataValidation type="whole" errorStyle="warning" allowBlank="1" showDropDown="1" showInputMessage="1" showErrorMessage="1" errorTitle="Ano inválido" error="É recomendado que sejam inseridas informações de 2020, 2021, 2022, 2023 ou 2024." sqref="O9" xr:uid="{00000000-0002-0000-0300-000000000000}">
      <formula1>2021</formula1>
      <formula2>2025</formula2>
    </dataValidation>
  </dataValidations>
  <pageMargins left="0.511811024" right="0.511811024" top="0.78740157499999996" bottom="0.78740157499999996" header="0.31496062000000002" footer="0.31496062000000002"/>
  <ignoredErrors>
    <ignoredError sqref="F27" formulaRange="1"/>
  </ignoredErrors>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300-000001000000}">
          <x14:formula1>
            <xm:f>Auxiliar!$B$2:$B$9</xm:f>
          </x14:formula1>
          <xm:sqref>O10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L43"/>
  <sheetViews>
    <sheetView showGridLines="0" topLeftCell="A4" zoomScaleNormal="100" workbookViewId="0">
      <selection activeCell="O6" sqref="O6"/>
    </sheetView>
  </sheetViews>
  <sheetFormatPr defaultRowHeight="15" x14ac:dyDescent="0.25"/>
  <cols>
    <col min="1" max="1" width="1.7109375" style="66" customWidth="1"/>
    <col min="18" max="18" width="11.5703125" bestFit="1" customWidth="1"/>
  </cols>
  <sheetData>
    <row r="1" spans="6:38" s="66" customFormat="1" ht="8.25" customHeight="1" x14ac:dyDescent="0.25"/>
    <row r="3" spans="6:38" ht="12.75" customHeight="1" x14ac:dyDescent="0.25">
      <c r="F3" s="5" t="s">
        <v>33</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4" t="s">
        <v>30</v>
      </c>
      <c r="G6" s="35"/>
      <c r="H6" s="35"/>
      <c r="I6" s="35"/>
      <c r="J6" s="35"/>
      <c r="K6" s="35"/>
      <c r="L6" s="35"/>
      <c r="M6" s="35"/>
      <c r="N6" s="36"/>
      <c r="O6" s="37">
        <v>100</v>
      </c>
      <c r="P6" s="77" t="s">
        <v>20</v>
      </c>
      <c r="Q6" s="78"/>
      <c r="R6" s="78"/>
      <c r="S6" s="78"/>
      <c r="T6" s="78"/>
      <c r="U6" s="78"/>
      <c r="V6" s="78"/>
      <c r="W6" s="78"/>
      <c r="X6" s="78"/>
      <c r="Y6" s="78"/>
      <c r="Z6" s="78"/>
      <c r="AA6" s="78"/>
      <c r="AB6" s="78"/>
      <c r="AC6" s="78"/>
      <c r="AD6" s="78"/>
      <c r="AE6" s="78"/>
      <c r="AF6" s="78"/>
      <c r="AG6" s="78"/>
      <c r="AH6" s="78"/>
      <c r="AI6" s="78"/>
      <c r="AJ6" s="78"/>
      <c r="AK6" s="78"/>
      <c r="AL6" s="78"/>
    </row>
    <row r="7" spans="6:38" x14ac:dyDescent="0.25">
      <c r="F7" s="34" t="s">
        <v>34</v>
      </c>
      <c r="G7" s="35"/>
      <c r="H7" s="35"/>
      <c r="I7" s="35"/>
      <c r="J7" s="35"/>
      <c r="K7" s="35"/>
      <c r="L7" s="35"/>
      <c r="M7" s="35"/>
      <c r="N7" s="36"/>
      <c r="O7" s="37">
        <v>10</v>
      </c>
      <c r="P7" s="8" t="s">
        <v>20</v>
      </c>
      <c r="Q7" s="1"/>
      <c r="R7" s="1"/>
      <c r="S7" s="1"/>
    </row>
    <row r="8" spans="6:38" x14ac:dyDescent="0.25">
      <c r="F8" s="34" t="s">
        <v>35</v>
      </c>
      <c r="G8" s="35"/>
      <c r="H8" s="35"/>
      <c r="I8" s="35"/>
      <c r="J8" s="35"/>
      <c r="K8" s="35"/>
      <c r="L8" s="35"/>
      <c r="M8" s="35"/>
      <c r="N8" s="36"/>
      <c r="O8" s="37">
        <v>20</v>
      </c>
      <c r="P8" s="8" t="s">
        <v>20</v>
      </c>
      <c r="Q8" s="1"/>
      <c r="R8" s="1"/>
      <c r="S8" s="1"/>
      <c r="T8" s="1"/>
    </row>
    <row r="9" spans="6:38" x14ac:dyDescent="0.25">
      <c r="F9" s="34" t="s">
        <v>36</v>
      </c>
      <c r="G9" s="36"/>
      <c r="H9" s="36"/>
      <c r="I9" s="36"/>
      <c r="J9" s="36"/>
      <c r="K9" s="36"/>
      <c r="L9" s="36"/>
      <c r="M9" s="36"/>
      <c r="N9" s="36"/>
      <c r="O9" s="37">
        <v>10</v>
      </c>
      <c r="P9" s="8" t="s">
        <v>20</v>
      </c>
      <c r="Q9" s="1"/>
      <c r="R9" s="1"/>
      <c r="S9" s="1"/>
    </row>
    <row r="10" spans="6:38" x14ac:dyDescent="0.25">
      <c r="F10" s="34" t="s">
        <v>37</v>
      </c>
      <c r="G10" s="36"/>
      <c r="H10" s="36"/>
      <c r="I10" s="36"/>
      <c r="J10" s="36"/>
      <c r="K10" s="36"/>
      <c r="L10" s="36"/>
      <c r="M10" s="36"/>
      <c r="N10" s="36"/>
      <c r="O10" s="37">
        <v>10</v>
      </c>
      <c r="P10" s="8" t="s">
        <v>20</v>
      </c>
      <c r="Q10" s="1"/>
      <c r="R10" s="1"/>
      <c r="S10" s="1"/>
    </row>
    <row r="11" spans="6:38" x14ac:dyDescent="0.25">
      <c r="F11" s="34" t="s">
        <v>38</v>
      </c>
      <c r="G11" s="36"/>
      <c r="H11" s="36"/>
      <c r="I11" s="36"/>
      <c r="J11" s="36"/>
      <c r="K11" s="36"/>
      <c r="L11" s="36"/>
      <c r="M11" s="36"/>
      <c r="N11" s="36"/>
      <c r="O11" s="37">
        <v>10</v>
      </c>
      <c r="P11" s="8" t="s">
        <v>20</v>
      </c>
      <c r="Q11" s="1"/>
      <c r="R11" s="1"/>
      <c r="S11" s="1"/>
    </row>
    <row r="12" spans="6:38" x14ac:dyDescent="0.25">
      <c r="F12" s="34" t="s">
        <v>31</v>
      </c>
      <c r="G12" s="36"/>
      <c r="H12" s="36"/>
      <c r="I12" s="36"/>
      <c r="J12" s="36"/>
      <c r="K12" s="36"/>
      <c r="L12" s="36"/>
      <c r="M12" s="36"/>
      <c r="N12" s="36"/>
      <c r="O12" s="37">
        <v>40</v>
      </c>
      <c r="P12" s="8" t="s">
        <v>93</v>
      </c>
      <c r="Q12" s="1"/>
      <c r="T12" s="1"/>
    </row>
    <row r="13" spans="6:38" x14ac:dyDescent="0.25">
      <c r="F13" s="34" t="s">
        <v>39</v>
      </c>
      <c r="G13" s="36"/>
      <c r="H13" s="36"/>
      <c r="I13" s="36"/>
      <c r="J13" s="36"/>
      <c r="K13" s="36"/>
      <c r="L13" s="36"/>
      <c r="M13" s="36"/>
      <c r="N13" s="36"/>
      <c r="O13" s="37">
        <v>10</v>
      </c>
      <c r="P13" s="8" t="s">
        <v>93</v>
      </c>
      <c r="Q13" s="1"/>
      <c r="T13" s="1"/>
    </row>
    <row r="14" spans="6:38" x14ac:dyDescent="0.25">
      <c r="F14" s="34" t="s">
        <v>27</v>
      </c>
      <c r="G14" s="36"/>
      <c r="H14" s="36"/>
      <c r="I14" s="36"/>
      <c r="J14" s="36"/>
      <c r="K14" s="36"/>
      <c r="L14" s="36"/>
      <c r="M14" s="36"/>
      <c r="N14" s="36"/>
      <c r="O14" s="37">
        <v>1000</v>
      </c>
      <c r="P14" s="8" t="s">
        <v>6</v>
      </c>
      <c r="Q14" s="1"/>
    </row>
    <row r="15" spans="6:38" x14ac:dyDescent="0.25">
      <c r="F15" s="34" t="s">
        <v>7</v>
      </c>
      <c r="G15" s="38"/>
      <c r="H15" s="38"/>
      <c r="I15" s="38"/>
      <c r="J15" s="38"/>
      <c r="K15" s="38"/>
      <c r="L15" s="38"/>
      <c r="M15" s="38"/>
      <c r="N15" s="36"/>
      <c r="O15" s="37">
        <v>2025</v>
      </c>
      <c r="P15" s="8" t="s">
        <v>92</v>
      </c>
      <c r="Q15" s="2"/>
      <c r="R15" s="2"/>
      <c r="S15" s="1"/>
      <c r="T15" s="1"/>
    </row>
    <row r="16" spans="6:38" x14ac:dyDescent="0.25">
      <c r="F16" s="34" t="s">
        <v>32</v>
      </c>
      <c r="G16" s="38"/>
      <c r="H16" s="38"/>
      <c r="I16" s="38"/>
      <c r="J16" s="38"/>
      <c r="K16" s="38"/>
      <c r="L16" s="38"/>
      <c r="M16" s="38"/>
      <c r="N16" s="36"/>
      <c r="O16" s="37">
        <v>2033</v>
      </c>
      <c r="P16" s="8" t="s">
        <v>9</v>
      </c>
      <c r="Q16" s="2"/>
      <c r="R16" s="2"/>
      <c r="S16" s="1"/>
      <c r="T16" s="1"/>
    </row>
    <row r="17" spans="4:20" x14ac:dyDescent="0.25">
      <c r="F17" s="40" t="str">
        <f>IF(COUNTBLANK(O6:O16)=0,CONCATENATE("O ICE do seu município em ",O15, " é de ",ROUND(F33,1),"%"),"")</f>
        <v>O ICE do seu município em 2025 é de 21%</v>
      </c>
      <c r="G17" s="40"/>
      <c r="H17" s="40"/>
      <c r="I17" s="40"/>
      <c r="J17" s="40"/>
      <c r="K17" s="40"/>
      <c r="L17" s="40"/>
      <c r="M17" s="40"/>
      <c r="N17" s="40"/>
      <c r="O17" s="40"/>
      <c r="P17" s="2"/>
      <c r="Q17" s="2"/>
      <c r="R17" s="2"/>
      <c r="S17" s="1"/>
      <c r="T17" s="1"/>
    </row>
    <row r="19" spans="4:20" x14ac:dyDescent="0.25">
      <c r="F19" s="4" t="s">
        <v>10</v>
      </c>
      <c r="G19" s="11"/>
      <c r="H19" s="11"/>
      <c r="I19" s="11"/>
      <c r="J19" s="11"/>
      <c r="K19" s="2"/>
      <c r="L19" s="2"/>
      <c r="M19" s="2"/>
      <c r="N19" s="2"/>
      <c r="O19" s="2"/>
      <c r="P19" s="2"/>
      <c r="Q19" s="2"/>
      <c r="R19" s="2"/>
      <c r="S19" s="1"/>
      <c r="T19" s="1"/>
    </row>
    <row r="20" spans="4:20" x14ac:dyDescent="0.25">
      <c r="F20" s="50" t="s">
        <v>11</v>
      </c>
      <c r="G20" s="51"/>
      <c r="H20" s="52">
        <v>2025</v>
      </c>
      <c r="I20" s="51">
        <v>2026</v>
      </c>
      <c r="J20" s="52">
        <v>2027</v>
      </c>
      <c r="K20" s="51">
        <v>2028</v>
      </c>
      <c r="L20" s="52">
        <v>2029</v>
      </c>
      <c r="M20" s="51">
        <v>2030</v>
      </c>
      <c r="N20" s="52">
        <v>2031</v>
      </c>
      <c r="O20" s="51">
        <v>2032</v>
      </c>
      <c r="P20" s="53">
        <v>2033</v>
      </c>
      <c r="Q20" s="2"/>
      <c r="R20" s="2"/>
      <c r="S20" s="1"/>
      <c r="T20" s="1"/>
    </row>
    <row r="21" spans="4:20" x14ac:dyDescent="0.25">
      <c r="F21" s="54" t="s">
        <v>12</v>
      </c>
      <c r="G21" s="55"/>
      <c r="H21" s="56">
        <f t="shared" ref="H21:P21" si="0">IF(COUNTBLANK($O$6:$O$16)&lt;&gt;0,"",IF(H20=$O$15,$F$33,IF($O$16&lt;=H20,90,(H20-$O$15)*$G$33+$F$33)))</f>
        <v>21</v>
      </c>
      <c r="I21" s="55">
        <f t="shared" si="0"/>
        <v>29.625</v>
      </c>
      <c r="J21" s="56">
        <f t="shared" si="0"/>
        <v>38.25</v>
      </c>
      <c r="K21" s="55">
        <f t="shared" si="0"/>
        <v>46.875</v>
      </c>
      <c r="L21" s="56">
        <f t="shared" si="0"/>
        <v>55.5</v>
      </c>
      <c r="M21" s="55">
        <f t="shared" si="0"/>
        <v>64.125</v>
      </c>
      <c r="N21" s="56">
        <f t="shared" si="0"/>
        <v>72.75</v>
      </c>
      <c r="O21" s="55">
        <f t="shared" si="0"/>
        <v>81.375</v>
      </c>
      <c r="P21" s="57">
        <f t="shared" si="0"/>
        <v>90</v>
      </c>
      <c r="Q21" s="2"/>
      <c r="R21" s="2"/>
      <c r="S21" s="1"/>
      <c r="T21" s="1"/>
    </row>
    <row r="22" spans="4:20" x14ac:dyDescent="0.25">
      <c r="F22" s="2"/>
      <c r="G22" s="2"/>
      <c r="H22" s="2"/>
      <c r="I22" s="2"/>
      <c r="J22" s="2"/>
      <c r="K22" s="2"/>
      <c r="L22" s="2"/>
      <c r="M22" s="2"/>
      <c r="N22" s="2"/>
      <c r="O22" s="2"/>
      <c r="P22" s="2"/>
      <c r="Q22" s="2"/>
      <c r="R22" s="2"/>
      <c r="S22" s="1"/>
      <c r="T22" s="1"/>
    </row>
    <row r="23" spans="4:20" x14ac:dyDescent="0.25">
      <c r="F23" s="9" t="s">
        <v>13</v>
      </c>
      <c r="G23" s="10"/>
      <c r="H23" s="10"/>
      <c r="I23" s="10"/>
      <c r="J23" s="2"/>
      <c r="K23" s="2"/>
      <c r="L23" s="2"/>
      <c r="M23" s="2"/>
      <c r="N23" s="2"/>
      <c r="O23" s="2"/>
      <c r="P23" s="2"/>
      <c r="Q23" s="2"/>
      <c r="R23" s="2"/>
      <c r="S23" s="1"/>
      <c r="T23" s="1"/>
    </row>
    <row r="24" spans="4:20" x14ac:dyDescent="0.25">
      <c r="F24" s="50" t="s">
        <v>11</v>
      </c>
      <c r="G24" s="60"/>
      <c r="H24" s="52">
        <v>2025</v>
      </c>
      <c r="I24" s="60">
        <v>2026</v>
      </c>
      <c r="J24" s="52">
        <v>2027</v>
      </c>
      <c r="K24" s="60">
        <v>2028</v>
      </c>
      <c r="L24" s="52">
        <v>2029</v>
      </c>
      <c r="M24" s="60">
        <v>2030</v>
      </c>
      <c r="N24" s="52">
        <v>2031</v>
      </c>
      <c r="O24" s="60">
        <v>2032</v>
      </c>
      <c r="P24" s="53">
        <v>2033</v>
      </c>
      <c r="Q24" s="2"/>
      <c r="R24" s="2"/>
      <c r="S24" s="1"/>
      <c r="T24" s="1"/>
    </row>
    <row r="25" spans="4:20" x14ac:dyDescent="0.25">
      <c r="F25" s="54" t="s">
        <v>12</v>
      </c>
      <c r="G25" s="61"/>
      <c r="H25" s="58">
        <f t="shared" ref="H25:P25" si="1">IF(COUNTBLANK($O$6:$O$16)&lt;&gt;0,"",IF(H24=$O$15,$F$33,IF($O$16&lt;=H24,90,$F$33*$H$33^(H24-$O$15))))</f>
        <v>21</v>
      </c>
      <c r="I25" s="61">
        <f t="shared" si="1"/>
        <v>25.189653676022324</v>
      </c>
      <c r="J25" s="58">
        <f t="shared" si="1"/>
        <v>30.215173919902139</v>
      </c>
      <c r="K25" s="61">
        <f t="shared" si="1"/>
        <v>36.243322228719848</v>
      </c>
      <c r="L25" s="58">
        <f t="shared" si="1"/>
        <v>43.474130238568307</v>
      </c>
      <c r="M25" s="61">
        <f t="shared" si="1"/>
        <v>52.147537360753589</v>
      </c>
      <c r="N25" s="58">
        <f t="shared" si="1"/>
        <v>62.551352674991335</v>
      </c>
      <c r="O25" s="61">
        <f t="shared" si="1"/>
        <v>75.030805278560209</v>
      </c>
      <c r="P25" s="59">
        <f t="shared" si="1"/>
        <v>90</v>
      </c>
      <c r="Q25" s="24">
        <f>P25</f>
        <v>90</v>
      </c>
      <c r="R25" s="2"/>
      <c r="S25" s="1"/>
      <c r="T25" s="1"/>
    </row>
    <row r="26" spans="4:20" x14ac:dyDescent="0.25">
      <c r="F26" s="2"/>
      <c r="Q26" s="2"/>
      <c r="R26" s="2"/>
      <c r="S26" s="1"/>
      <c r="T26" s="1"/>
    </row>
    <row r="27" spans="4:20" x14ac:dyDescent="0.25">
      <c r="F27" s="12" t="s">
        <v>14</v>
      </c>
      <c r="G27" s="12"/>
      <c r="H27" s="12"/>
      <c r="I27" s="12"/>
      <c r="J27" s="2"/>
      <c r="K27" s="2"/>
      <c r="L27" s="2"/>
      <c r="M27" s="2"/>
      <c r="N27" s="2"/>
      <c r="O27" s="2"/>
      <c r="P27" s="2"/>
      <c r="Q27" s="2"/>
      <c r="R27" s="2"/>
      <c r="S27" s="1"/>
      <c r="T27" s="1"/>
    </row>
    <row r="28" spans="4:20" x14ac:dyDescent="0.25">
      <c r="F28" s="50" t="s">
        <v>11</v>
      </c>
      <c r="G28" s="62"/>
      <c r="H28" s="52">
        <v>2025</v>
      </c>
      <c r="I28" s="62">
        <v>2026</v>
      </c>
      <c r="J28" s="52">
        <v>2027</v>
      </c>
      <c r="K28" s="62">
        <v>2028</v>
      </c>
      <c r="L28" s="52">
        <v>2029</v>
      </c>
      <c r="M28" s="62">
        <v>2030</v>
      </c>
      <c r="N28" s="52">
        <v>2031</v>
      </c>
      <c r="O28" s="62">
        <v>2032</v>
      </c>
      <c r="P28" s="53">
        <v>2033</v>
      </c>
      <c r="Q28" s="2"/>
      <c r="R28" s="2"/>
      <c r="S28" s="1"/>
      <c r="T28" s="1"/>
    </row>
    <row r="29" spans="4:20" x14ac:dyDescent="0.25">
      <c r="F29" s="54" t="s">
        <v>12</v>
      </c>
      <c r="G29" s="63"/>
      <c r="H29" s="58">
        <f>IF(COUNTBLANK($O$6:$O$16)&lt;&gt;0,"",IF(H20=$O$15,$F$33,IF($O$16&lt;=H20,90,G29+LARGE($F$35:$P$35,2))))</f>
        <v>21</v>
      </c>
      <c r="I29" s="63">
        <f>IF(COUNTBLANK($O$6:$O$16)&lt;&gt;0,"",IF(I20=$O$15,$F$33,IF($O$16&lt;=I20,90,H29+LARGE($F$35:$P$35,3))))</f>
        <v>35.969194721439791</v>
      </c>
      <c r="J29" s="58">
        <f>IF(COUNTBLANK($O$6:$O$16)&lt;&gt;0,"",IF(J20=$O$15,$F$33,IF($O$16&lt;=J20,90,I29+LARGE($F$35:$P$35,4))))</f>
        <v>48.448647325008665</v>
      </c>
      <c r="K29" s="63">
        <f>IF(COUNTBLANK($O$6:$O$16)&lt;&gt;0,"",IF(K20=$O$15,$F$33,IF($O$16&lt;=K20,90,J29+LARGE($F$35:$P$35,5))))</f>
        <v>58.852462639246411</v>
      </c>
      <c r="L29" s="58">
        <f>IF(COUNTBLANK($O$6:$O$16)&lt;&gt;0,"",IF(L20=$O$15,$F$33,IF($O$16&lt;=L20,90,K29+LARGE($F$35:$P$35,6))))</f>
        <v>67.525869761431693</v>
      </c>
      <c r="M29" s="63">
        <f>IF(COUNTBLANK($O$6:$O$16)&lt;&gt;0,"",IF(M20=$O$15,$F$33,IF($O$16&lt;=M20,90,L29+LARGE($F$35:$P$35,7))))</f>
        <v>74.756677771280152</v>
      </c>
      <c r="N29" s="58">
        <f>IF(COUNTBLANK($O$6:$O$16)&lt;&gt;0,"",IF(N20=$O$15,$F$33,IF($O$16&lt;=N20,90,M29+LARGE($F$35:$P$35,8))))</f>
        <v>80.784826080097858</v>
      </c>
      <c r="O29" s="63">
        <f>IF(COUNTBLANK($O$6:$O$16)&lt;&gt;0,"",IF(O20=$O$15,$F$33,IF($O$16&lt;=O20,90,N29+LARGE($F$35:$P$35,9))))</f>
        <v>85.810346323977669</v>
      </c>
      <c r="P29" s="59">
        <f>IF(COUNTBLANK($O$6:$O$16)&lt;&gt;0,"",IF(P20=$O$15,$F$33,IF($O$16&lt;=P20,90,O29+LARGE($F$35:$P$35,10))))</f>
        <v>90</v>
      </c>
      <c r="Q29" s="18">
        <f>P29</f>
        <v>90</v>
      </c>
    </row>
    <row r="30" spans="4:20" x14ac:dyDescent="0.25">
      <c r="D30" s="64"/>
      <c r="E30" s="64"/>
      <c r="F30" s="64"/>
      <c r="G30" s="65"/>
      <c r="H30" s="65"/>
      <c r="I30" s="64"/>
      <c r="J30" s="64"/>
      <c r="K30" s="64"/>
      <c r="L30" s="64"/>
      <c r="M30" s="64"/>
      <c r="N30" s="64"/>
      <c r="O30" s="64"/>
      <c r="P30" s="64"/>
    </row>
    <row r="31" spans="4:20" x14ac:dyDescent="0.25">
      <c r="D31" s="64"/>
      <c r="E31" s="64"/>
      <c r="F31" s="64"/>
      <c r="G31" s="64"/>
      <c r="H31" s="64"/>
      <c r="I31" s="64"/>
      <c r="J31" s="64"/>
      <c r="K31" s="64"/>
      <c r="L31" s="64"/>
      <c r="M31" s="64"/>
      <c r="N31" s="64"/>
      <c r="O31" s="64"/>
      <c r="P31" s="64"/>
    </row>
    <row r="32" spans="4:20" x14ac:dyDescent="0.25">
      <c r="D32" s="64"/>
      <c r="E32" s="14"/>
      <c r="F32" s="19" t="s">
        <v>15</v>
      </c>
      <c r="G32" s="19" t="s">
        <v>16</v>
      </c>
      <c r="H32" s="19" t="s">
        <v>17</v>
      </c>
      <c r="I32" s="14"/>
      <c r="J32" s="14"/>
      <c r="K32" s="14"/>
      <c r="L32" s="14"/>
      <c r="M32" s="14"/>
      <c r="N32" s="14"/>
      <c r="O32" s="14"/>
      <c r="P32" s="14"/>
    </row>
    <row r="33" spans="4:16" x14ac:dyDescent="0.25">
      <c r="D33" s="64"/>
      <c r="E33" s="14"/>
      <c r="F33" s="19">
        <f>IF(COUNTBLANK(O6:O8)&lt;&gt;0,"",100*(SUM(O6:O13)/O14))</f>
        <v>21</v>
      </c>
      <c r="G33" s="20">
        <f>IF(COUNTBLANK(O6:O16)&lt;&gt;0,"",(90-F33)/(O16-O15))</f>
        <v>8.625</v>
      </c>
      <c r="H33" s="20">
        <f>IF(COUNTBLANK(O6:O16)&lt;&gt;0,"",((90/F33)^(1/(O16-O15))))</f>
        <v>1.1995073179058249</v>
      </c>
      <c r="I33" s="14"/>
      <c r="J33" s="14"/>
      <c r="K33" s="14"/>
      <c r="L33" s="14"/>
      <c r="M33" s="14"/>
      <c r="N33" s="14"/>
      <c r="O33" s="14"/>
      <c r="P33" s="14"/>
    </row>
    <row r="34" spans="4:16" x14ac:dyDescent="0.25">
      <c r="D34" s="64"/>
      <c r="E34" s="14"/>
      <c r="F34" s="14"/>
      <c r="G34" s="14"/>
      <c r="H34" s="14"/>
      <c r="I34" s="14"/>
      <c r="J34" s="14"/>
      <c r="K34" s="14"/>
      <c r="L34" s="14"/>
      <c r="M34" s="14"/>
      <c r="N34" s="14"/>
      <c r="O34" s="14"/>
      <c r="P34" s="14"/>
    </row>
    <row r="35" spans="4:16" x14ac:dyDescent="0.25">
      <c r="D35" s="64"/>
      <c r="E35" s="13" t="s">
        <v>28</v>
      </c>
      <c r="F35" s="16">
        <f>IF(O15=2025,LARGE(G35:P35,1),H25-F33)</f>
        <v>21</v>
      </c>
      <c r="G35" s="16">
        <f>IF((H25-G25)&lt;0,"0,0",H25-G25)</f>
        <v>21</v>
      </c>
      <c r="H35" s="16">
        <f t="shared" ref="H35:P35" si="2">IF((I25-H25)&lt;0,"0,0",I25-H25)</f>
        <v>4.1896536760223242</v>
      </c>
      <c r="I35" s="16">
        <f t="shared" si="2"/>
        <v>5.0255202438798143</v>
      </c>
      <c r="J35" s="16">
        <f t="shared" si="2"/>
        <v>6.028148308817709</v>
      </c>
      <c r="K35" s="16">
        <f t="shared" si="2"/>
        <v>7.2308080098484595</v>
      </c>
      <c r="L35" s="16">
        <f t="shared" si="2"/>
        <v>8.6734071221852815</v>
      </c>
      <c r="M35" s="16">
        <f t="shared" si="2"/>
        <v>10.403815314237747</v>
      </c>
      <c r="N35" s="16">
        <f t="shared" si="2"/>
        <v>12.479452603568873</v>
      </c>
      <c r="O35" s="16">
        <f t="shared" si="2"/>
        <v>14.969194721439791</v>
      </c>
      <c r="P35" s="16">
        <f t="shared" si="2"/>
        <v>0</v>
      </c>
    </row>
    <row r="36" spans="4:16" x14ac:dyDescent="0.25">
      <c r="D36" s="64"/>
      <c r="E36" s="64"/>
      <c r="F36" s="64"/>
      <c r="G36" s="64"/>
      <c r="H36" s="64"/>
      <c r="I36" s="64"/>
      <c r="J36" s="64"/>
      <c r="K36" s="64"/>
      <c r="L36" s="64"/>
      <c r="M36" s="64"/>
      <c r="N36" s="64"/>
      <c r="O36" s="64"/>
      <c r="P36" s="64"/>
    </row>
    <row r="37" spans="4:16" x14ac:dyDescent="0.25">
      <c r="D37" s="64"/>
      <c r="E37" s="64"/>
      <c r="F37" s="64"/>
      <c r="G37" s="64"/>
      <c r="H37" s="64"/>
      <c r="I37" s="64"/>
      <c r="J37" s="64"/>
      <c r="K37" s="64"/>
      <c r="L37" s="64"/>
      <c r="M37" s="64"/>
      <c r="N37" s="64"/>
      <c r="O37" s="64"/>
      <c r="P37" s="64"/>
    </row>
    <row r="38" spans="4:16" x14ac:dyDescent="0.25">
      <c r="D38" s="64"/>
      <c r="E38" s="64"/>
      <c r="F38" s="64"/>
      <c r="G38" s="64"/>
      <c r="H38" s="64"/>
      <c r="I38" s="64"/>
      <c r="J38" s="64"/>
      <c r="K38" s="64"/>
      <c r="L38" s="64"/>
      <c r="M38" s="64"/>
      <c r="N38" s="64"/>
      <c r="O38" s="64"/>
      <c r="P38" s="64"/>
    </row>
    <row r="39" spans="4:16" x14ac:dyDescent="0.25">
      <c r="D39" s="64"/>
      <c r="E39" s="64"/>
      <c r="F39" s="64"/>
      <c r="G39" s="64"/>
      <c r="H39" s="64"/>
      <c r="I39" s="64"/>
      <c r="J39" s="64"/>
      <c r="K39" s="64"/>
      <c r="L39" s="64"/>
      <c r="M39" s="64"/>
      <c r="N39" s="64"/>
      <c r="O39" s="64"/>
      <c r="P39" s="64"/>
    </row>
    <row r="40" spans="4:16" x14ac:dyDescent="0.25">
      <c r="D40" s="64"/>
      <c r="E40" s="64"/>
      <c r="F40" s="64"/>
      <c r="G40" s="64"/>
      <c r="H40" s="64"/>
      <c r="I40" s="64"/>
      <c r="J40" s="64"/>
      <c r="K40" s="64"/>
      <c r="L40" s="64"/>
      <c r="M40" s="64"/>
      <c r="N40" s="64"/>
      <c r="O40" s="64"/>
      <c r="P40" s="64"/>
    </row>
    <row r="41" spans="4:16" x14ac:dyDescent="0.25">
      <c r="D41" s="64"/>
      <c r="E41" s="64"/>
      <c r="F41" s="64"/>
      <c r="G41" s="64"/>
      <c r="H41" s="64"/>
      <c r="I41" s="64"/>
      <c r="J41" s="64"/>
      <c r="K41" s="64"/>
      <c r="L41" s="64"/>
      <c r="M41" s="64"/>
      <c r="N41" s="64"/>
      <c r="O41" s="64"/>
      <c r="P41" s="64"/>
    </row>
    <row r="42" spans="4:16" x14ac:dyDescent="0.25">
      <c r="D42" s="64"/>
      <c r="E42" s="64"/>
      <c r="F42" s="64"/>
      <c r="G42" s="64"/>
      <c r="H42" s="64"/>
      <c r="I42" s="64"/>
      <c r="J42" s="64"/>
      <c r="K42" s="64"/>
      <c r="L42" s="64"/>
      <c r="M42" s="64"/>
      <c r="N42" s="64"/>
      <c r="O42" s="64"/>
      <c r="P42" s="64"/>
    </row>
    <row r="43" spans="4:16" x14ac:dyDescent="0.25">
      <c r="D43" s="64"/>
      <c r="E43" s="64"/>
      <c r="F43" s="64"/>
      <c r="G43" s="64"/>
      <c r="H43" s="64"/>
      <c r="I43" s="64"/>
      <c r="J43" s="64"/>
      <c r="K43" s="64"/>
      <c r="L43" s="64"/>
      <c r="M43" s="64"/>
      <c r="N43" s="64"/>
      <c r="O43" s="64"/>
      <c r="P43" s="64"/>
    </row>
  </sheetData>
  <sheetProtection sheet="1" objects="1" scenarios="1" selectLockedCells="1"/>
  <mergeCells count="1">
    <mergeCell ref="P6:AL6"/>
  </mergeCells>
  <dataValidations count="1">
    <dataValidation type="whole" errorStyle="warning" allowBlank="1" showDropDown="1" showInputMessage="1" showErrorMessage="1" errorTitle="Ano inválido" error="É recomendado que sejam inseridas informações de 2021, 2022, 2023, 2024 ou 2025." sqref="O15" xr:uid="{00000000-0002-0000-0400-000001000000}">
      <formula1>2021</formula1>
      <formula2>2025</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400-000000000000}">
          <x14:formula1>
            <xm:f>Auxiliar!$B$2:$B$9</xm:f>
          </x14:formula1>
          <xm:sqref>O16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T43"/>
  <sheetViews>
    <sheetView showGridLines="0" zoomScaleNormal="100" workbookViewId="0">
      <selection activeCell="O15" sqref="O15"/>
    </sheetView>
  </sheetViews>
  <sheetFormatPr defaultRowHeight="15" x14ac:dyDescent="0.25"/>
  <cols>
    <col min="1" max="1" width="1.7109375" style="66" customWidth="1"/>
    <col min="6" max="6" width="11.5703125" bestFit="1" customWidth="1"/>
    <col min="7" max="16" width="9.28515625" bestFit="1" customWidth="1"/>
    <col min="18" max="18" width="11.5703125" bestFit="1" customWidth="1"/>
  </cols>
  <sheetData>
    <row r="1" spans="6:20" s="66" customFormat="1" ht="8.25" customHeight="1" x14ac:dyDescent="0.25"/>
    <row r="3" spans="6:20" ht="12.75" customHeight="1" x14ac:dyDescent="0.25">
      <c r="F3" s="5" t="s">
        <v>40</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4" t="s">
        <v>41</v>
      </c>
      <c r="G6" s="35"/>
      <c r="H6" s="35"/>
      <c r="I6" s="35"/>
      <c r="J6" s="35"/>
      <c r="K6" s="35"/>
      <c r="L6" s="35"/>
      <c r="M6" s="35"/>
      <c r="N6" s="36"/>
      <c r="O6" s="37">
        <v>1000</v>
      </c>
      <c r="P6" s="8" t="s">
        <v>67</v>
      </c>
      <c r="Q6" s="1"/>
      <c r="R6" s="1"/>
      <c r="S6" s="1"/>
      <c r="T6" s="1"/>
    </row>
    <row r="7" spans="6:20" x14ac:dyDescent="0.25">
      <c r="F7" s="34" t="s">
        <v>42</v>
      </c>
      <c r="G7" s="35"/>
      <c r="H7" s="35"/>
      <c r="I7" s="35"/>
      <c r="J7" s="35"/>
      <c r="K7" s="35"/>
      <c r="L7" s="35"/>
      <c r="M7" s="35"/>
      <c r="N7" s="36"/>
      <c r="O7" s="37">
        <v>10</v>
      </c>
      <c r="P7" s="8" t="s">
        <v>67</v>
      </c>
      <c r="Q7" s="1"/>
      <c r="R7" s="1"/>
      <c r="S7" s="1"/>
    </row>
    <row r="8" spans="6:20" x14ac:dyDescent="0.25">
      <c r="F8" s="34" t="s">
        <v>43</v>
      </c>
      <c r="G8" s="35"/>
      <c r="H8" s="35"/>
      <c r="I8" s="35"/>
      <c r="J8" s="35"/>
      <c r="K8" s="35"/>
      <c r="L8" s="35"/>
      <c r="M8" s="35"/>
      <c r="N8" s="36"/>
      <c r="O8" s="37">
        <v>20</v>
      </c>
      <c r="P8" s="8" t="s">
        <v>95</v>
      </c>
      <c r="Q8" s="1"/>
      <c r="R8" s="1"/>
      <c r="S8" s="1"/>
      <c r="T8" s="1"/>
    </row>
    <row r="9" spans="6:20" x14ac:dyDescent="0.25">
      <c r="F9" s="34" t="s">
        <v>44</v>
      </c>
      <c r="G9" s="36"/>
      <c r="H9" s="36"/>
      <c r="I9" s="36"/>
      <c r="J9" s="36"/>
      <c r="K9" s="36"/>
      <c r="L9" s="36"/>
      <c r="M9" s="36"/>
      <c r="N9" s="36"/>
      <c r="O9" s="37">
        <v>300</v>
      </c>
      <c r="P9" s="8" t="s">
        <v>67</v>
      </c>
      <c r="Q9" s="1"/>
      <c r="R9" s="1"/>
      <c r="S9" s="1"/>
    </row>
    <row r="10" spans="6:20" x14ac:dyDescent="0.25">
      <c r="F10" s="34" t="s">
        <v>45</v>
      </c>
      <c r="G10" s="36"/>
      <c r="H10" s="36"/>
      <c r="I10" s="36"/>
      <c r="J10" s="36"/>
      <c r="K10" s="36"/>
      <c r="L10" s="36"/>
      <c r="M10" s="36"/>
      <c r="N10" s="36"/>
      <c r="O10" s="37">
        <v>10</v>
      </c>
      <c r="P10" s="8" t="s">
        <v>67</v>
      </c>
      <c r="Q10" s="1"/>
      <c r="R10" s="1"/>
      <c r="S10" s="1"/>
    </row>
    <row r="11" spans="6:20" x14ac:dyDescent="0.25">
      <c r="F11" s="34" t="s">
        <v>46</v>
      </c>
      <c r="G11" s="36"/>
      <c r="H11" s="36"/>
      <c r="I11" s="36"/>
      <c r="J11" s="36"/>
      <c r="K11" s="36"/>
      <c r="L11" s="36"/>
      <c r="M11" s="36"/>
      <c r="N11" s="36"/>
      <c r="O11" s="37">
        <v>2000</v>
      </c>
      <c r="P11" s="8" t="s">
        <v>67</v>
      </c>
      <c r="Q11" s="1"/>
      <c r="R11" s="1"/>
      <c r="S11" s="1"/>
    </row>
    <row r="12" spans="6:20" x14ac:dyDescent="0.25">
      <c r="F12" s="34" t="s">
        <v>47</v>
      </c>
      <c r="G12" s="36"/>
      <c r="H12" s="36"/>
      <c r="I12" s="36"/>
      <c r="J12" s="36"/>
      <c r="K12" s="36"/>
      <c r="L12" s="36"/>
      <c r="M12" s="36"/>
      <c r="N12" s="36"/>
      <c r="O12" s="37">
        <v>2100</v>
      </c>
      <c r="P12" s="8" t="s">
        <v>67</v>
      </c>
      <c r="T12" s="1"/>
    </row>
    <row r="13" spans="6:20" x14ac:dyDescent="0.25">
      <c r="F13" s="34" t="s">
        <v>7</v>
      </c>
      <c r="G13" s="38"/>
      <c r="H13" s="38"/>
      <c r="I13" s="38"/>
      <c r="J13" s="38"/>
      <c r="K13" s="38"/>
      <c r="L13" s="38"/>
      <c r="M13" s="38"/>
      <c r="N13" s="36"/>
      <c r="O13" s="37">
        <v>2025</v>
      </c>
      <c r="P13" s="8" t="s">
        <v>92</v>
      </c>
      <c r="Q13" s="2"/>
      <c r="R13" s="2"/>
      <c r="S13" s="1"/>
      <c r="T13" s="1"/>
    </row>
    <row r="14" spans="6:20" x14ac:dyDescent="0.25">
      <c r="F14" s="34" t="s">
        <v>48</v>
      </c>
      <c r="G14" s="36"/>
      <c r="H14" s="36"/>
      <c r="I14" s="36"/>
      <c r="J14" s="36"/>
      <c r="K14" s="36"/>
      <c r="L14" s="36"/>
      <c r="M14" s="36"/>
      <c r="N14" s="36"/>
      <c r="O14" s="37">
        <v>216</v>
      </c>
      <c r="P14" s="8" t="s">
        <v>49</v>
      </c>
    </row>
    <row r="15" spans="6:20" x14ac:dyDescent="0.25">
      <c r="F15" s="34" t="s">
        <v>50</v>
      </c>
      <c r="G15" s="38"/>
      <c r="H15" s="38"/>
      <c r="I15" s="38"/>
      <c r="J15" s="38"/>
      <c r="K15" s="38"/>
      <c r="L15" s="38"/>
      <c r="M15" s="38"/>
      <c r="N15" s="36"/>
      <c r="O15" s="37">
        <v>2033</v>
      </c>
      <c r="P15" s="8" t="s">
        <v>9</v>
      </c>
      <c r="Q15" s="2"/>
      <c r="R15" s="2"/>
      <c r="S15" s="1"/>
      <c r="T15" s="1"/>
    </row>
    <row r="16" spans="6:20" x14ac:dyDescent="0.25">
      <c r="F16" s="40" t="str">
        <f>IF(COUNTBLANK(O6:O15)=0,CONCATENATE("O I-01 do seu município em ",O13, " é de ",ROUND(F32,1)," L/lig./dia"),"")</f>
        <v>O I-01 do seu município em 2025 é de 908,8 L/lig./dia</v>
      </c>
      <c r="G16" s="40"/>
      <c r="H16" s="40"/>
      <c r="I16" s="40"/>
      <c r="J16" s="40"/>
      <c r="K16" s="40"/>
      <c r="L16" s="40"/>
      <c r="M16" s="40"/>
      <c r="N16" s="40"/>
      <c r="O16" s="40"/>
    </row>
    <row r="18" spans="2:20" x14ac:dyDescent="0.25">
      <c r="F18" s="4" t="s">
        <v>10</v>
      </c>
      <c r="G18" s="11"/>
      <c r="H18" s="11"/>
      <c r="I18" s="11"/>
      <c r="J18" s="11"/>
      <c r="K18" s="2"/>
      <c r="L18" s="2"/>
      <c r="M18" s="2"/>
      <c r="N18" s="2"/>
      <c r="O18" s="2"/>
      <c r="P18" s="2"/>
      <c r="Q18" s="2"/>
      <c r="R18" s="2"/>
      <c r="S18" s="1"/>
      <c r="T18" s="1"/>
    </row>
    <row r="19" spans="2:20" x14ac:dyDescent="0.25">
      <c r="F19" s="50" t="s">
        <v>11</v>
      </c>
      <c r="G19" s="51"/>
      <c r="H19" s="52">
        <v>2025</v>
      </c>
      <c r="I19" s="51">
        <v>2026</v>
      </c>
      <c r="J19" s="52">
        <v>2027</v>
      </c>
      <c r="K19" s="51">
        <v>2028</v>
      </c>
      <c r="L19" s="52">
        <v>2029</v>
      </c>
      <c r="M19" s="51">
        <v>2030</v>
      </c>
      <c r="N19" s="52">
        <v>2031</v>
      </c>
      <c r="O19" s="51">
        <v>2032</v>
      </c>
      <c r="P19" s="53">
        <v>2033</v>
      </c>
      <c r="Q19" s="2"/>
      <c r="R19" s="2"/>
      <c r="S19" s="1"/>
      <c r="T19" s="1"/>
    </row>
    <row r="20" spans="2:20" x14ac:dyDescent="0.25">
      <c r="F20" s="54" t="s">
        <v>12</v>
      </c>
      <c r="G20" s="55"/>
      <c r="H20" s="56">
        <f t="shared" ref="H20:P20" si="0">IF(COUNTBLANK($O$6:$O$15)&lt;&gt;0,"",IF(H19=$O$13,$F$32,IF($O$15&lt;=H19,$O$14,(H19-$O$13)*$G$32+$F$32)))</f>
        <v>908.78717006348143</v>
      </c>
      <c r="I20" s="55">
        <f t="shared" si="0"/>
        <v>822.18877380554625</v>
      </c>
      <c r="J20" s="56">
        <f t="shared" si="0"/>
        <v>735.59037754761107</v>
      </c>
      <c r="K20" s="55">
        <f t="shared" si="0"/>
        <v>648.99198128967589</v>
      </c>
      <c r="L20" s="56">
        <f t="shared" si="0"/>
        <v>562.39358503174071</v>
      </c>
      <c r="M20" s="55">
        <f t="shared" si="0"/>
        <v>475.79518877380553</v>
      </c>
      <c r="N20" s="56">
        <f t="shared" si="0"/>
        <v>389.19679251587036</v>
      </c>
      <c r="O20" s="55">
        <f t="shared" si="0"/>
        <v>302.59839625793518</v>
      </c>
      <c r="P20" s="57">
        <f t="shared" si="0"/>
        <v>216</v>
      </c>
      <c r="Q20" s="2"/>
      <c r="R20" s="2"/>
      <c r="S20" s="1"/>
      <c r="T20" s="1"/>
    </row>
    <row r="21" spans="2:20" x14ac:dyDescent="0.25">
      <c r="F21" s="2"/>
      <c r="G21" s="2"/>
      <c r="H21" s="2"/>
      <c r="I21" s="2"/>
      <c r="J21" s="2"/>
      <c r="K21" s="2"/>
      <c r="L21" s="2"/>
      <c r="M21" s="2"/>
      <c r="N21" s="2"/>
      <c r="O21" s="2"/>
      <c r="P21" s="2"/>
      <c r="Q21" s="2"/>
      <c r="R21" s="2"/>
      <c r="S21" s="1"/>
      <c r="T21" s="1"/>
    </row>
    <row r="22" spans="2:20" x14ac:dyDescent="0.25">
      <c r="F22" s="9" t="s">
        <v>14</v>
      </c>
      <c r="G22" s="10"/>
      <c r="H22" s="10"/>
      <c r="I22" s="10"/>
      <c r="J22" s="2"/>
      <c r="K22" s="2"/>
      <c r="L22" s="2"/>
      <c r="M22" s="2"/>
      <c r="N22" s="2"/>
      <c r="O22" s="2"/>
      <c r="P22" s="2"/>
      <c r="Q22" s="2"/>
      <c r="R22" s="2"/>
      <c r="S22" s="1"/>
      <c r="T22" s="1"/>
    </row>
    <row r="23" spans="2:20" x14ac:dyDescent="0.25">
      <c r="F23" s="50" t="s">
        <v>11</v>
      </c>
      <c r="G23" s="60"/>
      <c r="H23" s="52">
        <v>2025</v>
      </c>
      <c r="I23" s="60">
        <v>2026</v>
      </c>
      <c r="J23" s="52">
        <v>2027</v>
      </c>
      <c r="K23" s="60">
        <v>2028</v>
      </c>
      <c r="L23" s="52">
        <v>2029</v>
      </c>
      <c r="M23" s="60">
        <v>2030</v>
      </c>
      <c r="N23" s="52">
        <v>2031</v>
      </c>
      <c r="O23" s="60">
        <v>2032</v>
      </c>
      <c r="P23" s="53">
        <v>2033</v>
      </c>
      <c r="Q23" s="2"/>
      <c r="R23" s="2"/>
      <c r="S23" s="1"/>
      <c r="T23" s="1"/>
    </row>
    <row r="24" spans="2:20" x14ac:dyDescent="0.25">
      <c r="F24" s="54" t="s">
        <v>12</v>
      </c>
      <c r="G24" s="61"/>
      <c r="H24" s="58">
        <f t="shared" ref="H24:P24" si="1">IF(COUNTBLANK($O$6:$O$15)&lt;&gt;0,"",IF(H23=$O$13,$F$32,IF($O$15&lt;=H23,$O$14,$F$32*$H$32^(H23-$O$13))))</f>
        <v>908.78717006348143</v>
      </c>
      <c r="I24" s="61">
        <f t="shared" si="1"/>
        <v>759.38345838249063</v>
      </c>
      <c r="J24" s="58">
        <f t="shared" si="1"/>
        <v>634.54156909441201</v>
      </c>
      <c r="K24" s="61">
        <f t="shared" si="1"/>
        <v>530.22356289724837</v>
      </c>
      <c r="L24" s="58">
        <f t="shared" si="1"/>
        <v>443.05533371545363</v>
      </c>
      <c r="M24" s="61">
        <f t="shared" si="1"/>
        <v>370.21747517424541</v>
      </c>
      <c r="N24" s="58">
        <f t="shared" si="1"/>
        <v>309.35408851757234</v>
      </c>
      <c r="O24" s="61">
        <f t="shared" si="1"/>
        <v>258.4965824141504</v>
      </c>
      <c r="P24" s="59">
        <f t="shared" si="1"/>
        <v>216</v>
      </c>
      <c r="Q24" s="23">
        <f>P24</f>
        <v>216</v>
      </c>
      <c r="R24" s="2"/>
      <c r="S24" s="1"/>
      <c r="T24" s="1"/>
    </row>
    <row r="25" spans="2:20" x14ac:dyDescent="0.25">
      <c r="F25" s="2"/>
      <c r="Q25" s="2"/>
      <c r="R25" s="2"/>
      <c r="S25" s="1"/>
      <c r="T25" s="1"/>
    </row>
    <row r="26" spans="2:20" x14ac:dyDescent="0.25">
      <c r="F26" s="12" t="s">
        <v>13</v>
      </c>
      <c r="G26" s="12"/>
      <c r="H26" s="12"/>
      <c r="I26" s="12"/>
      <c r="J26" s="2"/>
      <c r="K26" s="2"/>
      <c r="L26" s="2"/>
      <c r="M26" s="2"/>
      <c r="N26" s="2"/>
      <c r="O26" s="2"/>
      <c r="P26" s="2"/>
      <c r="Q26" s="2"/>
      <c r="R26" s="2"/>
      <c r="S26" s="1"/>
      <c r="T26" s="1"/>
    </row>
    <row r="27" spans="2:20" x14ac:dyDescent="0.25">
      <c r="F27" s="50" t="s">
        <v>11</v>
      </c>
      <c r="G27" s="62"/>
      <c r="H27" s="52">
        <v>2025</v>
      </c>
      <c r="I27" s="62">
        <v>2026</v>
      </c>
      <c r="J27" s="52">
        <v>2027</v>
      </c>
      <c r="K27" s="62">
        <v>2028</v>
      </c>
      <c r="L27" s="52">
        <v>2029</v>
      </c>
      <c r="M27" s="62">
        <v>2030</v>
      </c>
      <c r="N27" s="52">
        <v>2031</v>
      </c>
      <c r="O27" s="62">
        <v>2032</v>
      </c>
      <c r="P27" s="53">
        <v>2033</v>
      </c>
      <c r="Q27" s="2"/>
      <c r="R27" s="2"/>
      <c r="S27" s="1"/>
      <c r="T27" s="1"/>
    </row>
    <row r="28" spans="2:20" x14ac:dyDescent="0.25">
      <c r="F28" s="54" t="s">
        <v>12</v>
      </c>
      <c r="G28" s="63"/>
      <c r="H28" s="58">
        <f>IF(COUNTBLANK($O$6:$O$15)&lt;&gt;0,"",IF(H19=$O$13,$F$32,IF($O$15&lt;=H19,$O$14,G28+LARGE($F$34:$P$34,3))))</f>
        <v>908.78717006348143</v>
      </c>
      <c r="I28" s="63">
        <f>IF(COUNTBLANK($O$6:$O$15)&lt;&gt;0,"",IF(I19=$O$13,$F$32,IF($O$15&lt;=I19,$O$14,H28+LARGE($F$34:$P$34,4))))</f>
        <v>857.92966396005954</v>
      </c>
      <c r="J28" s="58">
        <f>IF(COUNTBLANK($O$6:$O$15)&lt;&gt;0,"",IF(J19=$O$13,$F$32,IF($O$15&lt;=J19,$O$14,I28+LARGE($F$34:$P$34,5))))</f>
        <v>797.06627730338641</v>
      </c>
      <c r="K28" s="63">
        <f>IF(COUNTBLANK($O$6:$O$15)&lt;&gt;0,"",IF(K19=$O$13,$F$32,IF($O$15&lt;=K19,$O$14,J28+LARGE($F$34:$P$34,6))))</f>
        <v>724.22841876217819</v>
      </c>
      <c r="L28" s="58">
        <f>IF(COUNTBLANK($O$6:$O$15)&lt;&gt;0,"",IF(L19=$O$13,$F$32,IF($O$15&lt;=L19,$O$14,K28+LARGE($F$34:$P$34,7))))</f>
        <v>637.06018958038339</v>
      </c>
      <c r="M28" s="63">
        <f>IF(COUNTBLANK($O$6:$O$15)&lt;&gt;0,"",IF(M19=$O$13,$F$32,IF($O$15&lt;=M19,$O$14,L28+LARGE($F$34:$P$34,8))))</f>
        <v>532.74218338321975</v>
      </c>
      <c r="N28" s="58">
        <f>IF(COUNTBLANK($O$6:$O$15)&lt;&gt;0,"",IF(N19=$O$13,$F$32,IF($O$15&lt;=N19,$O$14,M28+LARGE($F$34:$P$34,9))))</f>
        <v>407.90029409514113</v>
      </c>
      <c r="O28" s="63">
        <f>IF(COUNTBLANK($O$6:$O$15)&lt;&gt;0,"",IF(O19=$O$13,$F$32,IF($O$15&lt;=O19,$O$14,N28+LARGE($F$34:$P$34,10))))</f>
        <v>258.49658241415034</v>
      </c>
      <c r="P28" s="59">
        <f>IF(COUNTBLANK($O$6:$O$15)&lt;&gt;0,"",IF(P19=$O$13,$F$32,IF($O$15&lt;=P19,$O$14,O28+LARGE($F$34:$P$34,11))))</f>
        <v>216</v>
      </c>
      <c r="Q28" s="22"/>
    </row>
    <row r="29" spans="2:20" x14ac:dyDescent="0.25">
      <c r="B29" s="18"/>
      <c r="C29" s="18"/>
      <c r="D29" s="18"/>
      <c r="E29" s="18"/>
      <c r="F29" s="18"/>
      <c r="G29" s="18"/>
      <c r="H29" s="18"/>
    </row>
    <row r="30" spans="2:20" x14ac:dyDescent="0.25">
      <c r="C30" s="64"/>
      <c r="D30" s="64"/>
      <c r="E30" s="64"/>
      <c r="F30" s="64"/>
      <c r="G30" s="64"/>
      <c r="H30" s="64"/>
      <c r="I30" s="64"/>
      <c r="J30" s="64"/>
      <c r="K30" s="64"/>
      <c r="L30" s="64"/>
      <c r="M30" s="64"/>
      <c r="N30" s="64"/>
      <c r="O30" s="64"/>
      <c r="P30" s="64"/>
      <c r="Q30" s="14"/>
    </row>
    <row r="31" spans="2:20" x14ac:dyDescent="0.25">
      <c r="C31" s="64"/>
      <c r="D31" s="64"/>
      <c r="E31" s="14"/>
      <c r="F31" s="19" t="s">
        <v>15</v>
      </c>
      <c r="G31" s="19" t="s">
        <v>16</v>
      </c>
      <c r="H31" s="19" t="s">
        <v>17</v>
      </c>
      <c r="I31" s="14"/>
      <c r="J31" s="14"/>
      <c r="K31" s="14"/>
      <c r="L31" s="14"/>
      <c r="M31" s="14"/>
      <c r="N31" s="14"/>
      <c r="O31" s="14"/>
      <c r="P31" s="14"/>
      <c r="Q31" s="14"/>
    </row>
    <row r="32" spans="2:20" x14ac:dyDescent="0.25">
      <c r="C32" s="64"/>
      <c r="D32" s="64"/>
      <c r="E32" s="14"/>
      <c r="F32" s="19">
        <f>IF(COUNTBLANK(O6:O8)&lt;&gt;0,"",(1000000*(O6+O7-O8-O9-O10)/(365*((O11+O12)/2))))</f>
        <v>908.78717006348143</v>
      </c>
      <c r="G32" s="20">
        <f>IF(COUNTBLANK(O6:O15)&lt;&gt;0,"",(O14-F32)/(O15-O13))</f>
        <v>-86.598396257935178</v>
      </c>
      <c r="H32" s="20">
        <f>IF(COUNTBLANK(O6:O15)&lt;&gt;0,"",((O14/F32)^(1/(O15-O13))))</f>
        <v>0.83560098931573323</v>
      </c>
      <c r="I32" s="14"/>
      <c r="J32" s="14"/>
      <c r="K32" s="14"/>
      <c r="L32" s="14"/>
      <c r="M32" s="14"/>
      <c r="N32" s="14"/>
      <c r="O32" s="14"/>
      <c r="P32" s="14"/>
      <c r="Q32" s="14"/>
    </row>
    <row r="33" spans="3:17" x14ac:dyDescent="0.25">
      <c r="C33" s="64"/>
      <c r="D33" s="64"/>
      <c r="E33" s="14"/>
      <c r="F33" s="14"/>
      <c r="G33" s="14"/>
      <c r="H33" s="14"/>
      <c r="I33" s="14"/>
      <c r="J33" s="14"/>
      <c r="K33" s="14"/>
      <c r="L33" s="14"/>
      <c r="M33" s="14"/>
      <c r="N33" s="14"/>
      <c r="O33" s="14"/>
      <c r="P33" s="14"/>
      <c r="Q33" s="14"/>
    </row>
    <row r="34" spans="3:17" x14ac:dyDescent="0.25">
      <c r="C34" s="64"/>
      <c r="D34" s="64"/>
      <c r="E34" s="13" t="s">
        <v>28</v>
      </c>
      <c r="F34" s="16">
        <f>H24-F32</f>
        <v>0</v>
      </c>
      <c r="G34" s="16" t="str">
        <f>IF((H24-G24)&gt;0,"0,0",H24-G24)</f>
        <v>0,0</v>
      </c>
      <c r="H34" s="16">
        <f t="shared" ref="H34:P34" si="2">IF((I24-H24)&gt;0,"0,0",I24-H24)</f>
        <v>-149.4037116809908</v>
      </c>
      <c r="I34" s="16">
        <f t="shared" si="2"/>
        <v>-124.84188928807862</v>
      </c>
      <c r="J34" s="16">
        <f t="shared" si="2"/>
        <v>-104.31800619716364</v>
      </c>
      <c r="K34" s="16">
        <f t="shared" si="2"/>
        <v>-87.168229181794743</v>
      </c>
      <c r="L34" s="16">
        <f t="shared" si="2"/>
        <v>-72.83785854120822</v>
      </c>
      <c r="M34" s="16">
        <f t="shared" si="2"/>
        <v>-60.863386656673072</v>
      </c>
      <c r="N34" s="16">
        <f t="shared" si="2"/>
        <v>-50.85750610342194</v>
      </c>
      <c r="O34" s="16">
        <f t="shared" si="2"/>
        <v>-42.496582414150396</v>
      </c>
      <c r="P34" s="16">
        <f t="shared" si="2"/>
        <v>0</v>
      </c>
      <c r="Q34" s="14"/>
    </row>
    <row r="35" spans="3:17" x14ac:dyDescent="0.25">
      <c r="C35" s="64"/>
      <c r="D35" s="64"/>
      <c r="E35" s="14"/>
      <c r="F35" s="14"/>
      <c r="G35" s="14"/>
      <c r="H35" s="14"/>
      <c r="I35" s="14"/>
      <c r="J35" s="14"/>
      <c r="K35" s="14"/>
      <c r="L35" s="14"/>
      <c r="M35" s="14"/>
      <c r="N35" s="14"/>
      <c r="O35" s="14"/>
      <c r="P35" s="14"/>
      <c r="Q35" s="14"/>
    </row>
    <row r="36" spans="3:17" x14ac:dyDescent="0.25">
      <c r="C36" s="64"/>
      <c r="D36" s="64"/>
      <c r="E36" s="64"/>
      <c r="F36" s="64"/>
      <c r="G36" s="64"/>
      <c r="H36" s="64"/>
      <c r="I36" s="64"/>
      <c r="J36" s="64"/>
      <c r="K36" s="64"/>
      <c r="L36" s="64"/>
      <c r="M36" s="64"/>
      <c r="N36" s="64"/>
      <c r="O36" s="64"/>
      <c r="P36" s="64"/>
      <c r="Q36" s="14"/>
    </row>
    <row r="37" spans="3:17" x14ac:dyDescent="0.25">
      <c r="C37" s="64"/>
      <c r="D37" s="64"/>
      <c r="E37" s="64"/>
      <c r="F37" s="64"/>
      <c r="G37" s="64"/>
      <c r="H37" s="64"/>
      <c r="I37" s="64"/>
      <c r="J37" s="64"/>
      <c r="K37" s="64"/>
      <c r="L37" s="64"/>
      <c r="M37" s="64"/>
      <c r="N37" s="64"/>
      <c r="O37" s="64"/>
      <c r="P37" s="64"/>
      <c r="Q37" s="14"/>
    </row>
    <row r="38" spans="3:17" x14ac:dyDescent="0.25">
      <c r="C38" s="64"/>
      <c r="D38" s="64"/>
      <c r="E38" s="64"/>
      <c r="F38" s="64"/>
      <c r="G38" s="64"/>
      <c r="H38" s="64"/>
      <c r="I38" s="64"/>
      <c r="J38" s="64"/>
      <c r="K38" s="64"/>
      <c r="L38" s="64"/>
      <c r="M38" s="64"/>
      <c r="N38" s="64"/>
      <c r="O38" s="64"/>
      <c r="P38" s="64"/>
      <c r="Q38" s="14"/>
    </row>
    <row r="39" spans="3:17" x14ac:dyDescent="0.25">
      <c r="C39" s="64"/>
      <c r="D39" s="64"/>
      <c r="E39" s="64"/>
      <c r="F39" s="64"/>
      <c r="G39" s="64"/>
      <c r="H39" s="64"/>
      <c r="I39" s="64"/>
      <c r="J39" s="64"/>
      <c r="K39" s="64"/>
      <c r="L39" s="64"/>
      <c r="M39" s="64"/>
      <c r="N39" s="64"/>
      <c r="O39" s="64"/>
      <c r="P39" s="64"/>
    </row>
    <row r="40" spans="3:17" x14ac:dyDescent="0.25">
      <c r="C40" s="64"/>
      <c r="D40" s="64"/>
      <c r="E40" s="64"/>
      <c r="F40" s="64"/>
      <c r="G40" s="64"/>
      <c r="H40" s="64"/>
      <c r="I40" s="64"/>
      <c r="J40" s="64"/>
      <c r="K40" s="64"/>
      <c r="L40" s="64"/>
      <c r="M40" s="64"/>
      <c r="N40" s="64"/>
      <c r="O40" s="64"/>
      <c r="P40" s="64"/>
    </row>
    <row r="41" spans="3:17" x14ac:dyDescent="0.25">
      <c r="C41" s="64"/>
      <c r="D41" s="64"/>
      <c r="E41" s="64"/>
      <c r="F41" s="64"/>
      <c r="G41" s="64"/>
      <c r="H41" s="64"/>
      <c r="I41" s="64"/>
      <c r="J41" s="64"/>
      <c r="K41" s="64"/>
      <c r="L41" s="64"/>
      <c r="M41" s="64"/>
      <c r="N41" s="64"/>
      <c r="O41" s="64"/>
      <c r="P41" s="64"/>
    </row>
    <row r="42" spans="3:17" x14ac:dyDescent="0.25">
      <c r="C42" s="64"/>
      <c r="D42" s="64"/>
      <c r="E42" s="64"/>
      <c r="F42" s="64"/>
      <c r="G42" s="64"/>
      <c r="H42" s="64"/>
      <c r="I42" s="64"/>
      <c r="J42" s="64"/>
      <c r="K42" s="64"/>
      <c r="L42" s="64"/>
      <c r="M42" s="64"/>
      <c r="N42" s="64"/>
      <c r="O42" s="64"/>
      <c r="P42" s="64"/>
    </row>
    <row r="43" spans="3:17" x14ac:dyDescent="0.25">
      <c r="C43" s="64"/>
      <c r="D43" s="64"/>
      <c r="E43" s="64"/>
      <c r="F43" s="64"/>
      <c r="G43" s="64"/>
      <c r="H43" s="64"/>
      <c r="I43" s="64"/>
      <c r="J43" s="64"/>
      <c r="K43" s="64"/>
      <c r="L43" s="64"/>
      <c r="M43" s="64"/>
      <c r="N43" s="64"/>
      <c r="O43" s="64"/>
      <c r="P43" s="64"/>
    </row>
  </sheetData>
  <sheetProtection sheet="1" objects="1" scenarios="1" selectLockedCells="1"/>
  <dataValidations count="1">
    <dataValidation type="whole" errorStyle="warning" allowBlank="1" showDropDown="1" showInputMessage="1" showErrorMessage="1" errorTitle="Ano inválido" error="É recomendado que sejam inseridas informações de 2020, 2021, 2022, 2023 ou 2024." sqref="O13" xr:uid="{00000000-0002-0000-0500-000001000000}">
      <formula1>2021</formula1>
      <formula2>2025</formula2>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500-000000000000}">
          <x14:formula1>
            <xm:f>Auxiliar!$B$2:$B$9</xm:f>
          </x14:formula1>
          <xm:sqref>O15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T41"/>
  <sheetViews>
    <sheetView showGridLines="0" zoomScaleNormal="100" workbookViewId="0">
      <selection activeCell="O6" sqref="O6"/>
    </sheetView>
  </sheetViews>
  <sheetFormatPr defaultRowHeight="15" x14ac:dyDescent="0.25"/>
  <cols>
    <col min="1" max="1" width="1.7109375" style="66" customWidth="1"/>
    <col min="6" max="6" width="10.42578125" bestFit="1" customWidth="1"/>
    <col min="15" max="15" width="9.140625" customWidth="1"/>
    <col min="18" max="18" width="11.5703125" bestFit="1" customWidth="1"/>
  </cols>
  <sheetData>
    <row r="1" spans="6:20" s="66" customFormat="1" ht="8.25" customHeight="1" x14ac:dyDescent="0.25"/>
    <row r="3" spans="6:20" ht="12.75" customHeight="1" x14ac:dyDescent="0.25">
      <c r="F3" s="5" t="s">
        <v>51</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4" t="s">
        <v>52</v>
      </c>
      <c r="G6" s="35"/>
      <c r="H6" s="35"/>
      <c r="I6" s="35"/>
      <c r="J6" s="35"/>
      <c r="K6" s="35"/>
      <c r="L6" s="35"/>
      <c r="M6" s="35"/>
      <c r="N6" s="36"/>
      <c r="O6" s="37">
        <v>200</v>
      </c>
      <c r="P6" s="8" t="s">
        <v>67</v>
      </c>
      <c r="Q6" s="1"/>
      <c r="R6" s="1"/>
      <c r="S6" s="1"/>
      <c r="T6" s="1"/>
    </row>
    <row r="7" spans="6:20" x14ac:dyDescent="0.25">
      <c r="F7" s="34" t="s">
        <v>53</v>
      </c>
      <c r="G7" s="35"/>
      <c r="H7" s="35"/>
      <c r="I7" s="35"/>
      <c r="J7" s="35"/>
      <c r="K7" s="35"/>
      <c r="L7" s="35"/>
      <c r="M7" s="35"/>
      <c r="N7" s="36"/>
      <c r="O7" s="37">
        <v>1000</v>
      </c>
      <c r="P7" s="8" t="s">
        <v>67</v>
      </c>
      <c r="Q7" s="1"/>
      <c r="R7" s="1"/>
      <c r="S7" s="1"/>
    </row>
    <row r="8" spans="6:20" x14ac:dyDescent="0.25">
      <c r="F8" s="34" t="s">
        <v>7</v>
      </c>
      <c r="G8" s="38"/>
      <c r="H8" s="38"/>
      <c r="I8" s="38"/>
      <c r="J8" s="38"/>
      <c r="K8" s="38"/>
      <c r="L8" s="38"/>
      <c r="M8" s="38"/>
      <c r="N8" s="36"/>
      <c r="O8" s="37">
        <v>2025</v>
      </c>
      <c r="P8" s="8" t="s">
        <v>92</v>
      </c>
      <c r="Q8" s="1"/>
      <c r="R8" s="1"/>
      <c r="S8" s="1"/>
      <c r="T8" s="1"/>
    </row>
    <row r="9" spans="6:20" x14ac:dyDescent="0.25">
      <c r="F9" s="34" t="s">
        <v>54</v>
      </c>
      <c r="G9" s="36"/>
      <c r="H9" s="36"/>
      <c r="I9" s="36"/>
      <c r="J9" s="36"/>
      <c r="K9" s="36"/>
      <c r="L9" s="36"/>
      <c r="M9" s="36"/>
      <c r="N9" s="36"/>
      <c r="O9" s="37">
        <v>98</v>
      </c>
      <c r="P9" s="8" t="s">
        <v>55</v>
      </c>
      <c r="Q9" s="1"/>
      <c r="R9" s="1"/>
      <c r="S9" s="1"/>
    </row>
    <row r="10" spans="6:20" x14ac:dyDescent="0.25">
      <c r="F10" s="34" t="s">
        <v>50</v>
      </c>
      <c r="G10" s="38"/>
      <c r="H10" s="38"/>
      <c r="I10" s="38"/>
      <c r="J10" s="38"/>
      <c r="K10" s="38"/>
      <c r="L10" s="38"/>
      <c r="M10" s="38"/>
      <c r="N10" s="36"/>
      <c r="O10" s="37">
        <v>2033</v>
      </c>
      <c r="P10" s="8" t="s">
        <v>9</v>
      </c>
      <c r="Q10" s="1"/>
      <c r="R10" s="1"/>
      <c r="S10" s="1"/>
    </row>
    <row r="11" spans="6:20" x14ac:dyDescent="0.25">
      <c r="F11" s="40" t="str">
        <f>IF(COUNTBLANK(O6:O10)=0,CONCATENATE("O I-02 do seu município em ",O8, " é de ",ROUND(F31,1),"%"),"")</f>
        <v>O I-02 do seu município em 2025 é de 20%</v>
      </c>
      <c r="G11" s="40"/>
      <c r="H11" s="40"/>
      <c r="I11" s="40"/>
      <c r="J11" s="40"/>
      <c r="K11" s="40"/>
      <c r="L11" s="40"/>
      <c r="M11" s="40"/>
      <c r="N11" s="40"/>
      <c r="O11" s="40"/>
      <c r="P11" s="1"/>
      <c r="Q11" s="1"/>
      <c r="R11" s="1"/>
      <c r="S11" s="1"/>
    </row>
    <row r="12" spans="6:20" x14ac:dyDescent="0.25">
      <c r="F12" s="6"/>
      <c r="O12" s="8"/>
      <c r="P12" s="1"/>
      <c r="T12" s="1"/>
    </row>
    <row r="13" spans="6:20" x14ac:dyDescent="0.25">
      <c r="F13" s="42" t="s">
        <v>56</v>
      </c>
      <c r="G13" s="43"/>
      <c r="H13" s="43"/>
      <c r="I13" s="43"/>
      <c r="J13" s="43"/>
      <c r="K13" s="43"/>
      <c r="L13" s="43"/>
      <c r="M13" s="43"/>
      <c r="N13" s="43"/>
      <c r="O13" s="44"/>
      <c r="P13" s="2"/>
      <c r="Q13" s="2"/>
      <c r="R13" s="2"/>
      <c r="S13" s="1"/>
      <c r="T13" s="1"/>
    </row>
    <row r="14" spans="6:20" x14ac:dyDescent="0.25">
      <c r="F14" s="45" t="s">
        <v>57</v>
      </c>
      <c r="O14" s="46"/>
    </row>
    <row r="15" spans="6:20" x14ac:dyDescent="0.25">
      <c r="F15" s="47" t="s">
        <v>58</v>
      </c>
      <c r="G15" s="48"/>
      <c r="H15" s="48"/>
      <c r="I15" s="48"/>
      <c r="J15" s="48"/>
      <c r="K15" s="48"/>
      <c r="L15" s="48"/>
      <c r="M15" s="48"/>
      <c r="N15" s="48"/>
      <c r="O15" s="49"/>
      <c r="P15" s="2"/>
      <c r="Q15" s="2"/>
      <c r="R15" s="2"/>
      <c r="S15" s="1"/>
      <c r="T15" s="1"/>
    </row>
    <row r="17" spans="2:20" x14ac:dyDescent="0.25">
      <c r="F17" s="4" t="s">
        <v>10</v>
      </c>
      <c r="G17" s="11"/>
      <c r="H17" s="11"/>
      <c r="I17" s="11"/>
      <c r="J17" s="11"/>
      <c r="K17" s="2"/>
      <c r="L17" s="2"/>
      <c r="M17" s="2"/>
      <c r="N17" s="2"/>
      <c r="O17" s="2"/>
      <c r="P17" s="2"/>
      <c r="Q17" s="2"/>
      <c r="R17" s="2"/>
      <c r="S17" s="1"/>
      <c r="T17" s="1"/>
    </row>
    <row r="18" spans="2:20" x14ac:dyDescent="0.25">
      <c r="F18" s="50" t="s">
        <v>11</v>
      </c>
      <c r="G18" s="51"/>
      <c r="H18" s="52">
        <v>2025</v>
      </c>
      <c r="I18" s="51">
        <v>2026</v>
      </c>
      <c r="J18" s="52">
        <v>2027</v>
      </c>
      <c r="K18" s="51">
        <v>2028</v>
      </c>
      <c r="L18" s="52">
        <v>2029</v>
      </c>
      <c r="M18" s="51">
        <v>2030</v>
      </c>
      <c r="N18" s="52">
        <v>2031</v>
      </c>
      <c r="O18" s="51">
        <v>2032</v>
      </c>
      <c r="P18" s="53">
        <v>2033</v>
      </c>
      <c r="Q18" s="2"/>
      <c r="R18" s="2"/>
      <c r="S18" s="1"/>
      <c r="T18" s="1"/>
    </row>
    <row r="19" spans="2:20" x14ac:dyDescent="0.25">
      <c r="F19" s="54" t="s">
        <v>12</v>
      </c>
      <c r="G19" s="55"/>
      <c r="H19" s="56">
        <f t="shared" ref="H19:P19" si="0">IF(COUNTBLANK($O$6:$O$10)&lt;&gt;0,"",IF(H18=$O$8,$F$31,IF($O$10&lt;=H18,$O$9,(H18-$O$8)*$G$31+$F$31)))</f>
        <v>20</v>
      </c>
      <c r="I19" s="55">
        <f t="shared" si="0"/>
        <v>29.75</v>
      </c>
      <c r="J19" s="56">
        <f t="shared" si="0"/>
        <v>39.5</v>
      </c>
      <c r="K19" s="55">
        <f t="shared" si="0"/>
        <v>49.25</v>
      </c>
      <c r="L19" s="56">
        <f t="shared" si="0"/>
        <v>59</v>
      </c>
      <c r="M19" s="55">
        <f t="shared" si="0"/>
        <v>68.75</v>
      </c>
      <c r="N19" s="56">
        <f t="shared" si="0"/>
        <v>78.5</v>
      </c>
      <c r="O19" s="55">
        <f t="shared" si="0"/>
        <v>88.25</v>
      </c>
      <c r="P19" s="57">
        <f t="shared" si="0"/>
        <v>98</v>
      </c>
      <c r="Q19" s="2"/>
      <c r="R19" s="2"/>
      <c r="S19" s="1"/>
      <c r="T19" s="1"/>
    </row>
    <row r="20" spans="2:20" x14ac:dyDescent="0.25">
      <c r="F20" s="2"/>
      <c r="G20" s="2"/>
      <c r="H20" s="2"/>
      <c r="I20" s="2"/>
      <c r="J20" s="2"/>
      <c r="K20" s="2"/>
      <c r="L20" s="2"/>
      <c r="M20" s="2"/>
      <c r="N20" s="2"/>
      <c r="O20" s="2"/>
      <c r="P20" s="2"/>
      <c r="Q20" s="2"/>
      <c r="R20" s="2"/>
      <c r="S20" s="1"/>
      <c r="T20" s="1"/>
    </row>
    <row r="21" spans="2:20" x14ac:dyDescent="0.25">
      <c r="F21" s="9" t="s">
        <v>59</v>
      </c>
      <c r="G21" s="10"/>
      <c r="H21" s="10"/>
      <c r="I21" s="10"/>
      <c r="J21" s="2"/>
      <c r="K21" s="2"/>
      <c r="L21" s="2"/>
      <c r="M21" s="2"/>
      <c r="N21" s="2"/>
      <c r="O21" s="2"/>
      <c r="P21" s="2"/>
      <c r="Q21" s="2"/>
      <c r="R21" s="2"/>
      <c r="S21" s="1"/>
      <c r="T21" s="1"/>
    </row>
    <row r="22" spans="2:20" x14ac:dyDescent="0.25">
      <c r="F22" s="50" t="s">
        <v>11</v>
      </c>
      <c r="G22" s="60"/>
      <c r="H22" s="52">
        <v>2025</v>
      </c>
      <c r="I22" s="60">
        <v>2026</v>
      </c>
      <c r="J22" s="52">
        <v>2027</v>
      </c>
      <c r="K22" s="60">
        <v>2028</v>
      </c>
      <c r="L22" s="52">
        <v>2029</v>
      </c>
      <c r="M22" s="60">
        <v>2030</v>
      </c>
      <c r="N22" s="52">
        <v>2031</v>
      </c>
      <c r="O22" s="60">
        <v>2032</v>
      </c>
      <c r="P22" s="53">
        <v>2033</v>
      </c>
      <c r="Q22" s="2"/>
      <c r="R22" s="2"/>
      <c r="S22" s="1"/>
      <c r="T22" s="1"/>
    </row>
    <row r="23" spans="2:20" x14ac:dyDescent="0.25">
      <c r="F23" s="54" t="s">
        <v>12</v>
      </c>
      <c r="G23" s="61"/>
      <c r="H23" s="58">
        <f t="shared" ref="H23:P23" si="1">IF(COUNTBLANK($O$6:$O$10)&lt;&gt;0,"",IF(H22=$O$8,$F$31,IF($O$10&lt;=H22,$O$9,$F$31*$H$31^(H22-$O$8))))</f>
        <v>20</v>
      </c>
      <c r="I23" s="61">
        <f t="shared" si="1"/>
        <v>24.395206893061314</v>
      </c>
      <c r="J23" s="58">
        <f t="shared" si="1"/>
        <v>29.756305967763307</v>
      </c>
      <c r="K23" s="61">
        <f t="shared" si="1"/>
        <v>36.295562022841047</v>
      </c>
      <c r="L23" s="58">
        <f t="shared" si="1"/>
        <v>44.271887242357309</v>
      </c>
      <c r="M23" s="61">
        <f t="shared" si="1"/>
        <v>54.001092441179416</v>
      </c>
      <c r="N23" s="58">
        <f t="shared" si="1"/>
        <v>65.868391127695048</v>
      </c>
      <c r="O23" s="61">
        <f t="shared" si="1"/>
        <v>80.343651463660251</v>
      </c>
      <c r="P23" s="59">
        <f t="shared" si="1"/>
        <v>98</v>
      </c>
      <c r="Q23" s="23">
        <f>P23</f>
        <v>98</v>
      </c>
      <c r="R23" s="2"/>
      <c r="S23" s="1"/>
      <c r="T23" s="1"/>
    </row>
    <row r="24" spans="2:20" x14ac:dyDescent="0.25">
      <c r="F24" s="2"/>
      <c r="Q24" s="2"/>
      <c r="R24" s="2"/>
      <c r="S24" s="1"/>
      <c r="T24" s="1"/>
    </row>
    <row r="25" spans="2:20" x14ac:dyDescent="0.25">
      <c r="F25" s="12" t="s">
        <v>14</v>
      </c>
      <c r="G25" s="12"/>
      <c r="H25" s="12"/>
      <c r="I25" s="12"/>
      <c r="J25" s="2"/>
      <c r="K25" s="2"/>
      <c r="L25" s="2"/>
      <c r="M25" s="2"/>
      <c r="N25" s="2"/>
      <c r="O25" s="2"/>
      <c r="P25" s="2"/>
      <c r="Q25" s="2"/>
      <c r="R25" s="2"/>
      <c r="S25" s="1"/>
      <c r="T25" s="1"/>
    </row>
    <row r="26" spans="2:20" x14ac:dyDescent="0.25">
      <c r="F26" s="50" t="s">
        <v>11</v>
      </c>
      <c r="G26" s="62"/>
      <c r="H26" s="52">
        <v>2025</v>
      </c>
      <c r="I26" s="62">
        <v>2026</v>
      </c>
      <c r="J26" s="52">
        <v>2027</v>
      </c>
      <c r="K26" s="62">
        <v>2028</v>
      </c>
      <c r="L26" s="52">
        <v>2029</v>
      </c>
      <c r="M26" s="62">
        <v>2030</v>
      </c>
      <c r="N26" s="52">
        <v>2031</v>
      </c>
      <c r="O26" s="62">
        <v>2032</v>
      </c>
      <c r="P26" s="53">
        <v>2033</v>
      </c>
      <c r="Q26" s="2"/>
      <c r="R26" s="2"/>
      <c r="S26" s="1"/>
      <c r="T26" s="1"/>
    </row>
    <row r="27" spans="2:20" x14ac:dyDescent="0.25">
      <c r="F27" s="54" t="s">
        <v>12</v>
      </c>
      <c r="G27" s="63"/>
      <c r="H27" s="58">
        <f>IF(COUNTBLANK($O$6:$O$10)&lt;&gt;0,"",IF(H18=$O$8,$F$31,IF($O$10&lt;=H18,$O$9,G27+LARGE($F$33:$P$33,2))))</f>
        <v>20</v>
      </c>
      <c r="I27" s="63">
        <f>IF(COUNTBLANK($O$6:$O$10)&lt;&gt;0,"",IF(I18=$O$8,$F$31,IF($O$10&lt;=I18,$O$9,H27+LARGE($F$33:$P$33,3))))</f>
        <v>37.656348536339749</v>
      </c>
      <c r="J27" s="58">
        <f>IF(COUNTBLANK($O$6:$O$10)&lt;&gt;0,"",IF(J18=$O$8,$F$31,IF($O$10&lt;=J18,$O$9,I27+LARGE($F$33:$P$33,4))))</f>
        <v>52.131608872304952</v>
      </c>
      <c r="K27" s="63">
        <f>IF(COUNTBLANK($O$6:$O$10)&lt;&gt;0,"",IF(K18=$O$8,$F$31,IF($O$10&lt;=K18,$O$9,J27+LARGE($F$33:$P$33,5))))</f>
        <v>63.998907558820584</v>
      </c>
      <c r="L27" s="58">
        <f>IF(COUNTBLANK($O$6:$O$10)&lt;&gt;0,"",IF(L18=$O$8,$F$31,IF($O$10&lt;=L18,$O$9,K27+LARGE($F$33:$P$33,6))))</f>
        <v>73.728112757642691</v>
      </c>
      <c r="M27" s="63">
        <f>IF(COUNTBLANK($O$6:$O$10)&lt;&gt;0,"",IF(M18=$O$8,$F$31,IF($O$10&lt;=M18,$O$9,L27+LARGE($F$33:$P$33,7))))</f>
        <v>81.70443797715896</v>
      </c>
      <c r="N27" s="58">
        <f>IF(COUNTBLANK($O$6:$O$10)&lt;&gt;0,"",IF(N18=$O$8,$F$31,IF($O$10&lt;=N18,$O$9,M27+LARGE($F$33:$P$33,8))))</f>
        <v>88.243694032236704</v>
      </c>
      <c r="O27" s="63">
        <f>IF(COUNTBLANK($O$6:$O$10)&lt;&gt;0,"",IF(O18=$O$8,$F$31,IF($O$10&lt;=O18,$O$9,N27+LARGE($F$33:$P$33,9))))</f>
        <v>93.6047931069387</v>
      </c>
      <c r="P27" s="59">
        <f>IF(COUNTBLANK($O$6:$O$10)&lt;&gt;0,"",IF(P18=$O$8,$F$31,IF($O$10&lt;=P18,$O$9,O27+LARGE($F$33:$P$33,10))))</f>
        <v>98</v>
      </c>
      <c r="Q27" s="22"/>
    </row>
    <row r="28" spans="2:20" x14ac:dyDescent="0.25">
      <c r="E28" s="18"/>
      <c r="F28" s="18"/>
      <c r="G28" s="18"/>
      <c r="H28" s="18"/>
    </row>
    <row r="29" spans="2:20" x14ac:dyDescent="0.25">
      <c r="B29" s="18"/>
      <c r="C29" s="65"/>
      <c r="D29" s="65"/>
      <c r="E29" s="14"/>
      <c r="F29" s="14"/>
      <c r="G29" s="14"/>
      <c r="H29" s="14"/>
      <c r="I29" s="14"/>
      <c r="J29" s="14"/>
      <c r="K29" s="14"/>
      <c r="L29" s="14"/>
      <c r="M29" s="14"/>
      <c r="N29" s="14"/>
      <c r="O29" s="14"/>
      <c r="P29" s="14"/>
      <c r="Q29" s="14"/>
    </row>
    <row r="30" spans="2:20" x14ac:dyDescent="0.25">
      <c r="C30" s="64"/>
      <c r="D30" s="64"/>
      <c r="E30" s="14"/>
      <c r="F30" s="19" t="s">
        <v>15</v>
      </c>
      <c r="G30" s="19" t="s">
        <v>16</v>
      </c>
      <c r="H30" s="19" t="s">
        <v>17</v>
      </c>
      <c r="I30" s="14"/>
      <c r="J30" s="14"/>
      <c r="K30" s="14"/>
      <c r="L30" s="14"/>
      <c r="M30" s="14"/>
      <c r="N30" s="14"/>
      <c r="O30" s="14"/>
      <c r="P30" s="14"/>
      <c r="Q30" s="14"/>
    </row>
    <row r="31" spans="2:20" x14ac:dyDescent="0.25">
      <c r="C31" s="64"/>
      <c r="D31" s="64"/>
      <c r="E31" s="14"/>
      <c r="F31" s="19">
        <f>IF(COUNTBLANK(O6:O7)&lt;&gt;0,"",(100*(O6/O7)))</f>
        <v>20</v>
      </c>
      <c r="G31" s="20">
        <f>IF(COUNTBLANK(O6:O10)&lt;&gt;0,"",(O9-F31)/(O10-O8))</f>
        <v>9.75</v>
      </c>
      <c r="H31" s="20">
        <f>IF(COUNTBLANK(O6:O10)&lt;&gt;0,"",((O9/F31)^(1/(O10-O8))))</f>
        <v>1.2197603446530656</v>
      </c>
      <c r="I31" s="14"/>
      <c r="J31" s="14"/>
      <c r="K31" s="14"/>
      <c r="L31" s="14"/>
      <c r="M31" s="14"/>
      <c r="N31" s="14"/>
      <c r="O31" s="14"/>
      <c r="P31" s="14"/>
      <c r="Q31" s="14"/>
    </row>
    <row r="32" spans="2:20" x14ac:dyDescent="0.25">
      <c r="C32" s="64"/>
      <c r="D32" s="64"/>
      <c r="E32" s="14"/>
      <c r="F32" s="14"/>
      <c r="G32" s="14"/>
      <c r="H32" s="14"/>
      <c r="I32" s="14"/>
      <c r="J32" s="14"/>
      <c r="K32" s="14"/>
      <c r="L32" s="14"/>
      <c r="M32" s="14"/>
      <c r="N32" s="14"/>
      <c r="O32" s="14"/>
      <c r="P32" s="14"/>
      <c r="Q32" s="14"/>
    </row>
    <row r="33" spans="3:17" x14ac:dyDescent="0.25">
      <c r="C33" s="64"/>
      <c r="D33" s="64"/>
      <c r="E33" s="13" t="s">
        <v>28</v>
      </c>
      <c r="F33" s="16">
        <f>IF(O8=2025,LARGE(G33:P33,1),H23-F31)</f>
        <v>20</v>
      </c>
      <c r="G33" s="16">
        <f>IF((H23-G23)&lt;0,"0,0",H23-G23)</f>
        <v>20</v>
      </c>
      <c r="H33" s="16">
        <f t="shared" ref="H33:P33" si="2">IF((I23-H23)&lt;0,"0,0",I23-H23)</f>
        <v>4.3952068930613137</v>
      </c>
      <c r="I33" s="16">
        <f t="shared" si="2"/>
        <v>5.3610990747019933</v>
      </c>
      <c r="J33" s="16">
        <f t="shared" si="2"/>
        <v>6.5392560550777397</v>
      </c>
      <c r="K33" s="16">
        <f t="shared" si="2"/>
        <v>7.9763252195162622</v>
      </c>
      <c r="L33" s="16">
        <f t="shared" si="2"/>
        <v>9.7292051988221075</v>
      </c>
      <c r="M33" s="16">
        <f t="shared" si="2"/>
        <v>11.867298686515632</v>
      </c>
      <c r="N33" s="16">
        <f t="shared" si="2"/>
        <v>14.475260335965203</v>
      </c>
      <c r="O33" s="16">
        <f t="shared" si="2"/>
        <v>17.656348536339749</v>
      </c>
      <c r="P33" s="16">
        <f t="shared" si="2"/>
        <v>0</v>
      </c>
      <c r="Q33" s="14"/>
    </row>
    <row r="34" spans="3:17" x14ac:dyDescent="0.25">
      <c r="C34" s="64"/>
      <c r="D34" s="64"/>
      <c r="E34" s="14"/>
      <c r="F34" s="14"/>
      <c r="G34" s="14"/>
      <c r="H34" s="14"/>
      <c r="I34" s="14"/>
      <c r="J34" s="14"/>
      <c r="K34" s="14"/>
      <c r="L34" s="14"/>
      <c r="M34" s="14"/>
      <c r="N34" s="14"/>
      <c r="O34" s="14"/>
      <c r="P34" s="14"/>
      <c r="Q34" s="14"/>
    </row>
    <row r="35" spans="3:17" x14ac:dyDescent="0.25">
      <c r="C35" s="64"/>
      <c r="D35" s="64"/>
      <c r="E35" s="64"/>
      <c r="F35" s="64"/>
      <c r="G35" s="64"/>
      <c r="H35" s="64"/>
      <c r="I35" s="64"/>
      <c r="J35" s="64"/>
      <c r="K35" s="64"/>
      <c r="L35" s="64"/>
      <c r="M35" s="64"/>
      <c r="N35" s="64"/>
      <c r="O35" s="64"/>
      <c r="P35" s="64"/>
      <c r="Q35" s="14"/>
    </row>
    <row r="36" spans="3:17" x14ac:dyDescent="0.25">
      <c r="C36" s="64"/>
      <c r="D36" s="64"/>
      <c r="E36" s="64"/>
      <c r="F36" s="64"/>
      <c r="G36" s="64"/>
      <c r="H36" s="64"/>
      <c r="I36" s="64"/>
      <c r="J36" s="64"/>
      <c r="K36" s="64"/>
      <c r="L36" s="64"/>
      <c r="M36" s="64"/>
      <c r="N36" s="64"/>
      <c r="O36" s="64"/>
      <c r="P36" s="64"/>
      <c r="Q36" s="14"/>
    </row>
    <row r="37" spans="3:17" x14ac:dyDescent="0.25">
      <c r="C37" s="64"/>
      <c r="D37" s="64"/>
      <c r="E37" s="64"/>
      <c r="F37" s="64"/>
      <c r="G37" s="64"/>
      <c r="H37" s="64"/>
      <c r="I37" s="64"/>
      <c r="J37" s="64"/>
      <c r="K37" s="64"/>
      <c r="L37" s="64"/>
      <c r="M37" s="64"/>
      <c r="N37" s="64"/>
      <c r="O37" s="64"/>
      <c r="P37" s="64"/>
      <c r="Q37" s="14"/>
    </row>
    <row r="38" spans="3:17" x14ac:dyDescent="0.25">
      <c r="C38" s="64"/>
      <c r="D38" s="64"/>
      <c r="E38" s="64"/>
      <c r="F38" s="64"/>
      <c r="G38" s="64"/>
      <c r="H38" s="64"/>
      <c r="I38" s="64"/>
      <c r="J38" s="64"/>
      <c r="K38" s="64"/>
      <c r="L38" s="64"/>
      <c r="M38" s="64"/>
      <c r="N38" s="64"/>
      <c r="O38" s="64"/>
      <c r="P38" s="64"/>
      <c r="Q38" s="14"/>
    </row>
    <row r="39" spans="3:17" x14ac:dyDescent="0.25">
      <c r="C39" s="64"/>
      <c r="D39" s="64"/>
      <c r="E39" s="64"/>
      <c r="F39" s="64"/>
      <c r="G39" s="64"/>
      <c r="H39" s="64"/>
      <c r="I39" s="64"/>
      <c r="J39" s="64"/>
      <c r="K39" s="64"/>
      <c r="L39" s="64"/>
      <c r="M39" s="64"/>
      <c r="N39" s="64"/>
      <c r="O39" s="64"/>
      <c r="P39" s="64"/>
    </row>
    <row r="40" spans="3:17" x14ac:dyDescent="0.25">
      <c r="C40" s="64"/>
      <c r="D40" s="64"/>
      <c r="E40" s="64"/>
      <c r="F40" s="64"/>
      <c r="G40" s="64"/>
      <c r="H40" s="64"/>
      <c r="I40" s="64"/>
      <c r="J40" s="64"/>
      <c r="K40" s="64"/>
      <c r="L40" s="64"/>
      <c r="M40" s="64"/>
      <c r="N40" s="64"/>
      <c r="O40" s="64"/>
      <c r="P40" s="64"/>
    </row>
    <row r="41" spans="3:17" x14ac:dyDescent="0.25">
      <c r="C41" s="64"/>
      <c r="D41" s="64"/>
      <c r="E41" s="64"/>
      <c r="F41" s="64"/>
      <c r="G41" s="64"/>
      <c r="H41" s="64"/>
      <c r="I41" s="64"/>
      <c r="J41" s="64"/>
      <c r="K41" s="64"/>
      <c r="L41" s="64"/>
      <c r="M41" s="64"/>
      <c r="N41" s="64"/>
      <c r="O41" s="64"/>
      <c r="P41" s="64"/>
    </row>
  </sheetData>
  <sheetProtection algorithmName="SHA-512" hashValue="dACyARndCiGMbZztOb9d6Dp8P2C3YtucU9gzybpIUmCB5k05ecOBX4WqY5fePXR4JOyovCdqU9aAuPciX4RVkw==" saltValue="b1lUTNxcHduz6z5wjvzr2w==" spinCount="100000" sheet="1" objects="1" scenarios="1" selectLockedCells="1"/>
  <dataValidations count="1">
    <dataValidation type="whole" errorStyle="warning" allowBlank="1" showDropDown="1" showInputMessage="1" showErrorMessage="1" errorTitle="Ano inválido" error="É recomendado que sejam inseridas informações de 2020, 2021, 2022, 2023 ou 2024." sqref="O8" xr:uid="{00000000-0002-0000-06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31"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600-000000000000}">
          <x14:formula1>
            <xm:f>Auxiliar!$B$2:$B$9</xm:f>
          </x14:formula1>
          <xm:sqref>O10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T39"/>
  <sheetViews>
    <sheetView showGridLines="0" zoomScaleNormal="100" workbookViewId="0">
      <selection activeCell="O6" sqref="O6"/>
    </sheetView>
  </sheetViews>
  <sheetFormatPr defaultRowHeight="15" x14ac:dyDescent="0.25"/>
  <cols>
    <col min="1" max="1" width="1.7109375" style="66" customWidth="1"/>
    <col min="6" max="6" width="10.42578125" bestFit="1" customWidth="1"/>
    <col min="18" max="18" width="11.5703125" bestFit="1" customWidth="1"/>
  </cols>
  <sheetData>
    <row r="1" spans="6:20" s="66" customFormat="1" ht="8.25" customHeight="1" x14ac:dyDescent="0.25"/>
    <row r="3" spans="6:20" ht="12.75" customHeight="1" x14ac:dyDescent="0.25">
      <c r="F3" s="5" t="s">
        <v>60</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4" t="s">
        <v>61</v>
      </c>
      <c r="G6" s="35"/>
      <c r="H6" s="35"/>
      <c r="I6" s="35"/>
      <c r="J6" s="35"/>
      <c r="K6" s="35"/>
      <c r="L6" s="35"/>
      <c r="M6" s="35"/>
      <c r="N6" s="36"/>
      <c r="O6" s="37">
        <v>200</v>
      </c>
      <c r="P6" s="8" t="s">
        <v>67</v>
      </c>
      <c r="Q6" s="1"/>
      <c r="R6" s="1"/>
      <c r="S6" s="1"/>
      <c r="T6" s="1"/>
    </row>
    <row r="7" spans="6:20" x14ac:dyDescent="0.25">
      <c r="F7" s="34" t="s">
        <v>62</v>
      </c>
      <c r="G7" s="35"/>
      <c r="H7" s="35"/>
      <c r="I7" s="35"/>
      <c r="J7" s="35"/>
      <c r="K7" s="35"/>
      <c r="L7" s="35"/>
      <c r="M7" s="35"/>
      <c r="N7" s="36"/>
      <c r="O7" s="37">
        <v>1000</v>
      </c>
      <c r="P7" s="8" t="s">
        <v>67</v>
      </c>
      <c r="Q7" s="1"/>
      <c r="R7" s="1"/>
      <c r="S7" s="1"/>
    </row>
    <row r="8" spans="6:20" x14ac:dyDescent="0.25">
      <c r="F8" s="34" t="s">
        <v>7</v>
      </c>
      <c r="G8" s="38"/>
      <c r="H8" s="38"/>
      <c r="I8" s="38"/>
      <c r="J8" s="38"/>
      <c r="K8" s="38"/>
      <c r="L8" s="38"/>
      <c r="M8" s="38"/>
      <c r="N8" s="36"/>
      <c r="O8" s="37">
        <v>2025</v>
      </c>
      <c r="P8" s="8" t="s">
        <v>92</v>
      </c>
      <c r="Q8" s="1"/>
      <c r="R8" s="1"/>
      <c r="S8" s="1"/>
      <c r="T8" s="1"/>
    </row>
    <row r="9" spans="6:20" x14ac:dyDescent="0.25">
      <c r="F9" s="34" t="s">
        <v>54</v>
      </c>
      <c r="G9" s="36"/>
      <c r="H9" s="36"/>
      <c r="I9" s="36"/>
      <c r="J9" s="36"/>
      <c r="K9" s="36"/>
      <c r="L9" s="36"/>
      <c r="M9" s="36"/>
      <c r="N9" s="36"/>
      <c r="O9" s="37">
        <v>92</v>
      </c>
      <c r="P9" s="8" t="s">
        <v>63</v>
      </c>
      <c r="Q9" s="1"/>
      <c r="R9" s="1"/>
      <c r="S9" s="1"/>
    </row>
    <row r="10" spans="6:20" x14ac:dyDescent="0.25">
      <c r="F10" s="34" t="s">
        <v>50</v>
      </c>
      <c r="G10" s="38"/>
      <c r="H10" s="38"/>
      <c r="I10" s="38"/>
      <c r="J10" s="38"/>
      <c r="K10" s="38"/>
      <c r="L10" s="38"/>
      <c r="M10" s="38"/>
      <c r="N10" s="36"/>
      <c r="O10" s="37">
        <v>2033</v>
      </c>
      <c r="P10" s="8" t="s">
        <v>9</v>
      </c>
      <c r="Q10" s="1"/>
      <c r="R10" s="1"/>
      <c r="S10" s="1"/>
    </row>
    <row r="11" spans="6:20" x14ac:dyDescent="0.25">
      <c r="F11" s="40" t="str">
        <f>IF(COUNTBLANK(O6:O10)=0,CONCATENATE("O I-03 do seu município em ",O8, " é de ",ROUND(F31,1),"%"),"")</f>
        <v>O I-03 do seu município em 2025 é de 20%</v>
      </c>
      <c r="G11" s="40"/>
      <c r="H11" s="40"/>
      <c r="I11" s="40"/>
      <c r="J11" s="40"/>
      <c r="K11" s="40"/>
      <c r="L11" s="40"/>
      <c r="M11" s="40"/>
      <c r="N11" s="40"/>
      <c r="O11" s="40"/>
      <c r="P11" s="1"/>
      <c r="Q11" s="1"/>
      <c r="R11" s="1"/>
      <c r="S11" s="1"/>
    </row>
    <row r="12" spans="6:20" x14ac:dyDescent="0.25">
      <c r="F12" s="6"/>
      <c r="O12" s="8"/>
      <c r="P12" s="1"/>
      <c r="T12" s="1"/>
    </row>
    <row r="13" spans="6:20" x14ac:dyDescent="0.25">
      <c r="F13" s="42" t="s">
        <v>56</v>
      </c>
      <c r="G13" s="43"/>
      <c r="H13" s="43"/>
      <c r="I13" s="43"/>
      <c r="J13" s="43"/>
      <c r="K13" s="43"/>
      <c r="L13" s="43"/>
      <c r="M13" s="43"/>
      <c r="N13" s="43"/>
      <c r="O13" s="44"/>
      <c r="P13" s="2"/>
      <c r="Q13" s="2"/>
      <c r="R13" s="2"/>
      <c r="S13" s="1"/>
      <c r="T13" s="1"/>
    </row>
    <row r="14" spans="6:20" x14ac:dyDescent="0.25">
      <c r="F14" s="45" t="s">
        <v>57</v>
      </c>
      <c r="O14" s="46"/>
    </row>
    <row r="15" spans="6:20" x14ac:dyDescent="0.25">
      <c r="F15" s="47" t="s">
        <v>64</v>
      </c>
      <c r="G15" s="48"/>
      <c r="H15" s="48"/>
      <c r="I15" s="48"/>
      <c r="J15" s="48"/>
      <c r="K15" s="48"/>
      <c r="L15" s="48"/>
      <c r="M15" s="48"/>
      <c r="N15" s="48"/>
      <c r="O15" s="49"/>
      <c r="P15" s="2"/>
      <c r="Q15" s="2"/>
      <c r="R15" s="2"/>
      <c r="S15" s="1"/>
      <c r="T15" s="1"/>
    </row>
    <row r="17" spans="2:20" x14ac:dyDescent="0.25">
      <c r="F17" s="4" t="s">
        <v>10</v>
      </c>
      <c r="G17" s="11"/>
      <c r="H17" s="11"/>
      <c r="I17" s="11"/>
      <c r="J17" s="11"/>
      <c r="K17" s="2"/>
      <c r="L17" s="2"/>
      <c r="M17" s="2"/>
      <c r="N17" s="2"/>
      <c r="O17" s="2"/>
      <c r="P17" s="2"/>
      <c r="Q17" s="2"/>
      <c r="R17" s="2"/>
      <c r="S17" s="1"/>
      <c r="T17" s="1"/>
    </row>
    <row r="18" spans="2:20" x14ac:dyDescent="0.25">
      <c r="F18" s="50" t="s">
        <v>11</v>
      </c>
      <c r="G18" s="51"/>
      <c r="H18" s="52">
        <v>2025</v>
      </c>
      <c r="I18" s="51">
        <v>2026</v>
      </c>
      <c r="J18" s="52">
        <v>2027</v>
      </c>
      <c r="K18" s="51">
        <v>2028</v>
      </c>
      <c r="L18" s="52">
        <v>2029</v>
      </c>
      <c r="M18" s="51">
        <v>2030</v>
      </c>
      <c r="N18" s="52">
        <v>2031</v>
      </c>
      <c r="O18" s="51">
        <v>2032</v>
      </c>
      <c r="P18" s="53">
        <v>2033</v>
      </c>
      <c r="Q18" s="2"/>
      <c r="R18" s="2"/>
      <c r="S18" s="1"/>
      <c r="T18" s="1"/>
    </row>
    <row r="19" spans="2:20" x14ac:dyDescent="0.25">
      <c r="F19" s="54" t="s">
        <v>12</v>
      </c>
      <c r="G19" s="55"/>
      <c r="H19" s="56">
        <f t="shared" ref="H19:P19" si="0">IF(COUNTBLANK($O$6:$O$10)&lt;&gt;0,"",IF(H18=$O$8,$F$31,IF($O$10&lt;=H18,$O$9,(H18-$O$8)*$G$31+$F$31)))</f>
        <v>20</v>
      </c>
      <c r="I19" s="55">
        <f t="shared" si="0"/>
        <v>29</v>
      </c>
      <c r="J19" s="56">
        <f t="shared" si="0"/>
        <v>38</v>
      </c>
      <c r="K19" s="55">
        <f t="shared" si="0"/>
        <v>47</v>
      </c>
      <c r="L19" s="56">
        <f t="shared" si="0"/>
        <v>56</v>
      </c>
      <c r="M19" s="55">
        <f t="shared" si="0"/>
        <v>65</v>
      </c>
      <c r="N19" s="56">
        <f t="shared" si="0"/>
        <v>74</v>
      </c>
      <c r="O19" s="55">
        <f t="shared" si="0"/>
        <v>83</v>
      </c>
      <c r="P19" s="57">
        <f t="shared" si="0"/>
        <v>92</v>
      </c>
      <c r="Q19" s="2"/>
      <c r="R19" s="2"/>
      <c r="S19" s="1"/>
      <c r="T19" s="1"/>
    </row>
    <row r="20" spans="2:20" x14ac:dyDescent="0.25">
      <c r="F20" s="2"/>
      <c r="G20" s="2"/>
      <c r="H20" s="2"/>
      <c r="I20" s="2"/>
      <c r="J20" s="2"/>
      <c r="K20" s="2"/>
      <c r="L20" s="2"/>
      <c r="M20" s="2"/>
      <c r="N20" s="2"/>
      <c r="O20" s="2"/>
      <c r="P20" s="2"/>
      <c r="Q20" s="2"/>
      <c r="R20" s="2"/>
      <c r="S20" s="1"/>
      <c r="T20" s="1"/>
    </row>
    <row r="21" spans="2:20" x14ac:dyDescent="0.25">
      <c r="F21" s="9" t="s">
        <v>59</v>
      </c>
      <c r="G21" s="10"/>
      <c r="H21" s="10"/>
      <c r="I21" s="10"/>
      <c r="J21" s="2"/>
      <c r="K21" s="2"/>
      <c r="L21" s="2"/>
      <c r="M21" s="2"/>
      <c r="N21" s="2"/>
      <c r="O21" s="2"/>
      <c r="P21" s="2"/>
      <c r="Q21" s="2"/>
      <c r="R21" s="2"/>
      <c r="S21" s="1"/>
      <c r="T21" s="1"/>
    </row>
    <row r="22" spans="2:20" x14ac:dyDescent="0.25">
      <c r="F22" s="50" t="s">
        <v>11</v>
      </c>
      <c r="G22" s="60"/>
      <c r="H22" s="52">
        <v>2025</v>
      </c>
      <c r="I22" s="60">
        <v>2026</v>
      </c>
      <c r="J22" s="52">
        <v>2027</v>
      </c>
      <c r="K22" s="60">
        <v>2028</v>
      </c>
      <c r="L22" s="52">
        <v>2029</v>
      </c>
      <c r="M22" s="60">
        <v>2030</v>
      </c>
      <c r="N22" s="52">
        <v>2031</v>
      </c>
      <c r="O22" s="60">
        <v>2032</v>
      </c>
      <c r="P22" s="53">
        <v>2033</v>
      </c>
      <c r="Q22" s="2"/>
      <c r="R22" s="2"/>
      <c r="S22" s="1"/>
      <c r="T22" s="1"/>
    </row>
    <row r="23" spans="2:20" x14ac:dyDescent="0.25">
      <c r="F23" s="54" t="s">
        <v>12</v>
      </c>
      <c r="G23" s="61"/>
      <c r="H23" s="58">
        <f t="shared" ref="H23:P23" si="1">IF(COUNTBLANK($O$6:$O$10)&lt;&gt;0,"",IF(H22=$O$8,$F$31,IF($O$10&lt;=H22,$O$9,$F$31*$H$31^(H22-$O$8))))</f>
        <v>20</v>
      </c>
      <c r="I23" s="61">
        <f t="shared" si="1"/>
        <v>24.203307841593183</v>
      </c>
      <c r="J23" s="58">
        <f t="shared" si="1"/>
        <v>29.290005523746302</v>
      </c>
      <c r="K23" s="61">
        <f t="shared" si="1"/>
        <v>35.445751018659827</v>
      </c>
      <c r="L23" s="58">
        <f t="shared" si="1"/>
        <v>42.895221179054445</v>
      </c>
      <c r="M23" s="61">
        <f t="shared" si="1"/>
        <v>51.910312156494115</v>
      </c>
      <c r="N23" s="58">
        <f t="shared" si="1"/>
        <v>62.820063263841206</v>
      </c>
      <c r="O23" s="61">
        <f t="shared" si="1"/>
        <v>76.022666490155387</v>
      </c>
      <c r="P23" s="59">
        <f t="shared" si="1"/>
        <v>92</v>
      </c>
      <c r="Q23" s="23">
        <f>P23</f>
        <v>92</v>
      </c>
      <c r="R23" s="2"/>
      <c r="S23" s="1"/>
      <c r="T23" s="1"/>
    </row>
    <row r="24" spans="2:20" x14ac:dyDescent="0.25">
      <c r="F24" s="2"/>
      <c r="Q24" s="2"/>
      <c r="R24" s="2"/>
      <c r="S24" s="1"/>
      <c r="T24" s="1"/>
    </row>
    <row r="25" spans="2:20" x14ac:dyDescent="0.25">
      <c r="F25" s="12" t="s">
        <v>14</v>
      </c>
      <c r="G25" s="12"/>
      <c r="H25" s="12"/>
      <c r="I25" s="12"/>
      <c r="J25" s="2"/>
      <c r="K25" s="2"/>
      <c r="L25" s="2"/>
      <c r="M25" s="2"/>
      <c r="N25" s="2"/>
      <c r="O25" s="2"/>
      <c r="P25" s="2"/>
      <c r="Q25" s="2"/>
      <c r="R25" s="2"/>
      <c r="S25" s="1"/>
      <c r="T25" s="1"/>
    </row>
    <row r="26" spans="2:20" x14ac:dyDescent="0.25">
      <c r="F26" s="50" t="s">
        <v>11</v>
      </c>
      <c r="G26" s="62"/>
      <c r="H26" s="52">
        <v>2025</v>
      </c>
      <c r="I26" s="62">
        <v>2026</v>
      </c>
      <c r="J26" s="52">
        <v>2027</v>
      </c>
      <c r="K26" s="62">
        <v>2028</v>
      </c>
      <c r="L26" s="52">
        <v>2029</v>
      </c>
      <c r="M26" s="62">
        <v>2030</v>
      </c>
      <c r="N26" s="52">
        <v>2031</v>
      </c>
      <c r="O26" s="62">
        <v>2032</v>
      </c>
      <c r="P26" s="53">
        <v>2033</v>
      </c>
      <c r="Q26" s="2"/>
      <c r="R26" s="2"/>
      <c r="S26" s="1"/>
      <c r="T26" s="1"/>
    </row>
    <row r="27" spans="2:20" x14ac:dyDescent="0.25">
      <c r="F27" s="54" t="s">
        <v>12</v>
      </c>
      <c r="G27" s="63"/>
      <c r="H27" s="58">
        <f>IF(COUNTBLANK($O$6:$O$10)&lt;&gt;0,"",IF(H18=$O$8,$F$31,IF($O$10&lt;=H18,$O$9,G27+LARGE($F$33:$P$33,2))))</f>
        <v>20</v>
      </c>
      <c r="I27" s="63">
        <f>IF(COUNTBLANK($O$6:$O$10)&lt;&gt;0,"",IF(I18=$O$8,$F$31,IF($O$10&lt;=I18,$O$9,H27+LARGE($F$33:$P$33,3))))</f>
        <v>35.977333509844613</v>
      </c>
      <c r="J27" s="58">
        <f>IF(COUNTBLANK($O$6:$O$10)&lt;&gt;0,"",IF(J18=$O$8,$F$31,IF($O$10&lt;=J18,$O$9,I27+LARGE($F$33:$P$33,4))))</f>
        <v>49.179936736158794</v>
      </c>
      <c r="K27" s="63">
        <f>IF(COUNTBLANK($O$6:$O$10)&lt;&gt;0,"",IF(K18=$O$8,$F$31,IF($O$10&lt;=K18,$O$9,J27+LARGE($F$33:$P$33,5))))</f>
        <v>60.089687843505885</v>
      </c>
      <c r="L27" s="58">
        <f>IF(COUNTBLANK($O$6:$O$10)&lt;&gt;0,"",IF(L18=$O$8,$F$31,IF($O$10&lt;=L18,$O$9,K27+LARGE($F$33:$P$33,6))))</f>
        <v>69.104778820945555</v>
      </c>
      <c r="M27" s="63">
        <f>IF(COUNTBLANK($O$6:$O$10)&lt;&gt;0,"",IF(M18=$O$8,$F$31,IF($O$10&lt;=M18,$O$9,L27+LARGE($F$33:$P$33,7))))</f>
        <v>76.55424898134018</v>
      </c>
      <c r="N27" s="58">
        <f>IF(COUNTBLANK($O$6:$O$10)&lt;&gt;0,"",IF(N18=$O$8,$F$31,IF($O$10&lt;=N18,$O$9,M27+LARGE($F$33:$P$33,8))))</f>
        <v>82.709994476253712</v>
      </c>
      <c r="O27" s="63">
        <f>IF(COUNTBLANK($O$6:$O$10)&lt;&gt;0,"",IF(O18=$O$8,$F$31,IF($O$10&lt;=O18,$O$9,N27+LARGE($F$33:$P$33,9))))</f>
        <v>87.796692158406827</v>
      </c>
      <c r="P27" s="59">
        <f>IF(COUNTBLANK($O$6:$O$10)&lt;&gt;0,"",IF(P18=$O$8,$F$31,IF($O$10&lt;=P18,$O$9,O27+LARGE($F$33:$P$33,10))))</f>
        <v>92</v>
      </c>
      <c r="Q27" s="22"/>
    </row>
    <row r="28" spans="2:20" x14ac:dyDescent="0.25">
      <c r="C28" s="64"/>
      <c r="D28" s="64"/>
      <c r="E28" s="65"/>
      <c r="F28" s="65"/>
      <c r="G28" s="65"/>
      <c r="H28" s="65"/>
      <c r="I28" s="64"/>
      <c r="J28" s="64"/>
      <c r="K28" s="64"/>
      <c r="L28" s="64"/>
      <c r="M28" s="64"/>
      <c r="N28" s="64"/>
      <c r="O28" s="64"/>
      <c r="P28" s="64"/>
    </row>
    <row r="29" spans="2:20" x14ac:dyDescent="0.25">
      <c r="B29" s="18"/>
      <c r="C29" s="65"/>
      <c r="D29" s="65"/>
      <c r="E29" s="64"/>
      <c r="F29" s="64"/>
      <c r="G29" s="64"/>
      <c r="H29" s="64"/>
      <c r="I29" s="64"/>
      <c r="J29" s="64"/>
      <c r="K29" s="64"/>
      <c r="L29" s="64"/>
      <c r="M29" s="64"/>
      <c r="N29" s="64"/>
      <c r="O29" s="64"/>
      <c r="P29" s="64"/>
      <c r="Q29" s="64"/>
      <c r="R29" s="64"/>
    </row>
    <row r="30" spans="2:20" x14ac:dyDescent="0.25">
      <c r="C30" s="64"/>
      <c r="D30" s="64"/>
      <c r="E30" s="14"/>
      <c r="F30" s="19" t="s">
        <v>15</v>
      </c>
      <c r="G30" s="19" t="s">
        <v>16</v>
      </c>
      <c r="H30" s="19" t="s">
        <v>17</v>
      </c>
      <c r="I30" s="14"/>
      <c r="J30" s="14"/>
      <c r="K30" s="14"/>
      <c r="L30" s="14"/>
      <c r="M30" s="14"/>
      <c r="N30" s="14"/>
      <c r="O30" s="14"/>
      <c r="P30" s="14"/>
      <c r="Q30" s="14"/>
      <c r="R30" s="64"/>
    </row>
    <row r="31" spans="2:20" x14ac:dyDescent="0.25">
      <c r="C31" s="64"/>
      <c r="D31" s="64"/>
      <c r="E31" s="14"/>
      <c r="F31" s="19">
        <f>IF(COUNTBLANK(O6:O7)&lt;&gt;0,"",(100*(O6/O7)))</f>
        <v>20</v>
      </c>
      <c r="G31" s="20">
        <f>IF(COUNTBLANK(O6:O10)&lt;&gt;0,"",(O9-F31)/(O10-O8))</f>
        <v>9</v>
      </c>
      <c r="H31" s="20">
        <f>IF(COUNTBLANK(O6:O10)&lt;&gt;0,"",((O9/F31)^(1/(O10-O8))))</f>
        <v>1.2101653920796591</v>
      </c>
      <c r="I31" s="14"/>
      <c r="J31" s="14"/>
      <c r="K31" s="14"/>
      <c r="L31" s="14"/>
      <c r="M31" s="14"/>
      <c r="N31" s="14"/>
      <c r="O31" s="14"/>
      <c r="P31" s="14"/>
      <c r="Q31" s="14"/>
      <c r="R31" s="64"/>
    </row>
    <row r="32" spans="2:20" x14ac:dyDescent="0.25">
      <c r="C32" s="64"/>
      <c r="D32" s="64"/>
      <c r="E32" s="14"/>
      <c r="F32" s="14"/>
      <c r="G32" s="14"/>
      <c r="H32" s="14"/>
      <c r="I32" s="14"/>
      <c r="J32" s="14"/>
      <c r="K32" s="14"/>
      <c r="L32" s="14"/>
      <c r="M32" s="14"/>
      <c r="N32" s="14"/>
      <c r="O32" s="14"/>
      <c r="P32" s="14"/>
      <c r="Q32" s="14"/>
      <c r="R32" s="64"/>
    </row>
    <row r="33" spans="3:18" x14ac:dyDescent="0.25">
      <c r="C33" s="64"/>
      <c r="D33" s="64"/>
      <c r="E33" s="13" t="s">
        <v>28</v>
      </c>
      <c r="F33" s="16">
        <f>IF(O8=2025,LARGE(G33:P33,1),H23-F31)</f>
        <v>20</v>
      </c>
      <c r="G33" s="16">
        <f>IF((H23-G23)&lt;0,"0,0",H23-G23)</f>
        <v>20</v>
      </c>
      <c r="H33" s="16">
        <f t="shared" ref="H33:P33" si="2">IF((I23-H23)&lt;0,"0,0",I23-H23)</f>
        <v>4.2033078415931833</v>
      </c>
      <c r="I33" s="16">
        <f t="shared" si="2"/>
        <v>5.0866976821531189</v>
      </c>
      <c r="J33" s="16">
        <f t="shared" si="2"/>
        <v>6.1557454949135249</v>
      </c>
      <c r="K33" s="16">
        <f t="shared" si="2"/>
        <v>7.4494701603946183</v>
      </c>
      <c r="L33" s="16">
        <f t="shared" si="2"/>
        <v>9.0150909774396695</v>
      </c>
      <c r="M33" s="16">
        <f t="shared" si="2"/>
        <v>10.909751107347091</v>
      </c>
      <c r="N33" s="16">
        <f t="shared" si="2"/>
        <v>13.202603226314181</v>
      </c>
      <c r="O33" s="16">
        <f t="shared" si="2"/>
        <v>15.977333509844613</v>
      </c>
      <c r="P33" s="16">
        <f t="shared" si="2"/>
        <v>0</v>
      </c>
      <c r="Q33" s="14"/>
      <c r="R33" s="64"/>
    </row>
    <row r="34" spans="3:18" x14ac:dyDescent="0.25">
      <c r="C34" s="64"/>
      <c r="D34" s="64"/>
      <c r="E34" s="14"/>
      <c r="F34" s="14"/>
      <c r="G34" s="14"/>
      <c r="H34" s="14"/>
      <c r="I34" s="14"/>
      <c r="J34" s="14"/>
      <c r="K34" s="14"/>
      <c r="L34" s="14"/>
      <c r="M34" s="14"/>
      <c r="N34" s="14"/>
      <c r="O34" s="14"/>
      <c r="P34" s="14"/>
      <c r="Q34" s="14"/>
      <c r="R34" s="64"/>
    </row>
    <row r="35" spans="3:18" x14ac:dyDescent="0.25">
      <c r="D35" s="64"/>
      <c r="E35" s="64"/>
      <c r="F35" s="64"/>
      <c r="G35" s="64"/>
      <c r="H35" s="64"/>
      <c r="I35" s="64"/>
      <c r="J35" s="64"/>
      <c r="K35" s="64"/>
      <c r="L35" s="64"/>
      <c r="M35" s="64"/>
      <c r="N35" s="64"/>
      <c r="O35" s="64"/>
      <c r="P35" s="64"/>
      <c r="Q35" s="64"/>
      <c r="R35" s="64"/>
    </row>
    <row r="36" spans="3:18" x14ac:dyDescent="0.25">
      <c r="D36" s="64"/>
      <c r="E36" s="64"/>
      <c r="F36" s="64"/>
      <c r="G36" s="64"/>
      <c r="H36" s="64"/>
      <c r="I36" s="64"/>
      <c r="J36" s="64"/>
      <c r="K36" s="64"/>
      <c r="L36" s="64"/>
      <c r="M36" s="64"/>
      <c r="N36" s="64"/>
      <c r="O36" s="64"/>
      <c r="P36" s="64"/>
      <c r="Q36" s="64"/>
      <c r="R36" s="64"/>
    </row>
    <row r="37" spans="3:18" x14ac:dyDescent="0.25">
      <c r="D37" s="64"/>
      <c r="E37" s="64"/>
      <c r="F37" s="64"/>
      <c r="G37" s="64"/>
      <c r="H37" s="64"/>
      <c r="I37" s="64"/>
      <c r="J37" s="64"/>
      <c r="K37" s="64"/>
      <c r="L37" s="64"/>
      <c r="M37" s="64"/>
      <c r="N37" s="64"/>
      <c r="O37" s="64"/>
      <c r="P37" s="64"/>
      <c r="Q37" s="64"/>
      <c r="R37" s="64"/>
    </row>
    <row r="38" spans="3:18" x14ac:dyDescent="0.25">
      <c r="D38" s="64"/>
      <c r="E38" s="64"/>
      <c r="F38" s="64"/>
      <c r="G38" s="64"/>
      <c r="H38" s="64"/>
      <c r="I38" s="64"/>
      <c r="J38" s="64"/>
      <c r="K38" s="64"/>
      <c r="L38" s="64"/>
      <c r="M38" s="64"/>
      <c r="N38" s="64"/>
      <c r="O38" s="64"/>
      <c r="P38" s="64"/>
      <c r="Q38" s="64"/>
      <c r="R38" s="64"/>
    </row>
    <row r="39" spans="3:18" x14ac:dyDescent="0.25">
      <c r="D39" s="21"/>
      <c r="E39" s="21"/>
    </row>
  </sheetData>
  <sheetProtection algorithmName="SHA-512" hashValue="/r1gKMYglSmu2GYFpuGISaPenLVwFhF+yvfunLO7Tj9SQMpoxkinNa1Axal+0mCeSBpayhGyVpJbsb7RJ0UTwA==" saltValue="HmodMnS4XXxL3na9c7xJLA==" spinCount="100000" sheet="1" objects="1" scenarios="1" selectLockedCells="1"/>
  <dataValidations count="1">
    <dataValidation type="whole" errorStyle="warning" allowBlank="1" showDropDown="1" showInputMessage="1" showErrorMessage="1" errorTitle="Ano inválido" error="É recomendado que sejam inseridas informações de 2020, 2021, 2022, 2023 ou 2024." sqref="O8" xr:uid="{00000000-0002-0000-07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31"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700-000000000000}">
          <x14:formula1>
            <xm:f>Auxiliar!$B$2:$B$9</xm:f>
          </x14:formula1>
          <xm:sqref>O10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T38"/>
  <sheetViews>
    <sheetView showGridLines="0" zoomScaleNormal="100" workbookViewId="0">
      <selection activeCell="O7" sqref="O7"/>
    </sheetView>
  </sheetViews>
  <sheetFormatPr defaultRowHeight="15" x14ac:dyDescent="0.25"/>
  <cols>
    <col min="1" max="1" width="1.7109375" style="66" customWidth="1"/>
    <col min="6" max="6" width="10.42578125" bestFit="1" customWidth="1"/>
    <col min="18" max="18" width="11.5703125" bestFit="1" customWidth="1"/>
  </cols>
  <sheetData>
    <row r="1" spans="6:20" s="66" customFormat="1" ht="8.25" customHeight="1" x14ac:dyDescent="0.25"/>
    <row r="3" spans="6:20" ht="12.75" customHeight="1" x14ac:dyDescent="0.25">
      <c r="F3" s="5" t="s">
        <v>65</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4" t="s">
        <v>66</v>
      </c>
      <c r="G6" s="35"/>
      <c r="H6" s="35"/>
      <c r="I6" s="35"/>
      <c r="J6" s="35"/>
      <c r="K6" s="35"/>
      <c r="L6" s="35"/>
      <c r="M6" s="35"/>
      <c r="N6" s="36"/>
      <c r="O6" s="37">
        <v>900</v>
      </c>
      <c r="P6" s="8" t="s">
        <v>67</v>
      </c>
      <c r="Q6" s="1"/>
      <c r="R6" s="1"/>
      <c r="S6" s="1"/>
      <c r="T6" s="1"/>
    </row>
    <row r="7" spans="6:20" x14ac:dyDescent="0.25">
      <c r="F7" s="34" t="s">
        <v>68</v>
      </c>
      <c r="G7" s="35"/>
      <c r="H7" s="35"/>
      <c r="I7" s="35"/>
      <c r="J7" s="35"/>
      <c r="K7" s="35"/>
      <c r="L7" s="35"/>
      <c r="M7" s="35"/>
      <c r="N7" s="36"/>
      <c r="O7" s="37">
        <v>100</v>
      </c>
      <c r="P7" s="8" t="s">
        <v>67</v>
      </c>
      <c r="Q7" s="1"/>
      <c r="R7" s="1"/>
      <c r="S7" s="1"/>
    </row>
    <row r="8" spans="6:20" x14ac:dyDescent="0.25">
      <c r="F8" s="34" t="s">
        <v>69</v>
      </c>
      <c r="G8" s="35"/>
      <c r="H8" s="35"/>
      <c r="I8" s="35"/>
      <c r="J8" s="35"/>
      <c r="K8" s="35"/>
      <c r="L8" s="35"/>
      <c r="M8" s="35"/>
      <c r="N8" s="36"/>
      <c r="O8" s="37">
        <v>1000</v>
      </c>
      <c r="P8" s="8" t="s">
        <v>95</v>
      </c>
      <c r="Q8" s="1"/>
      <c r="R8" s="1"/>
      <c r="S8" s="1"/>
      <c r="T8" s="1"/>
    </row>
    <row r="9" spans="6:20" x14ac:dyDescent="0.25">
      <c r="F9" s="34" t="s">
        <v>70</v>
      </c>
      <c r="G9" s="36"/>
      <c r="H9" s="36"/>
      <c r="I9" s="36"/>
      <c r="J9" s="36"/>
      <c r="K9" s="36"/>
      <c r="L9" s="36"/>
      <c r="M9" s="36"/>
      <c r="N9" s="36"/>
      <c r="O9" s="37">
        <v>1000</v>
      </c>
      <c r="P9" s="8" t="s">
        <v>67</v>
      </c>
      <c r="Q9" s="1"/>
      <c r="R9" s="1"/>
      <c r="S9" s="1"/>
    </row>
    <row r="10" spans="6:20" x14ac:dyDescent="0.25">
      <c r="F10" s="34" t="s">
        <v>7</v>
      </c>
      <c r="G10" s="38"/>
      <c r="H10" s="38"/>
      <c r="I10" s="38"/>
      <c r="J10" s="38"/>
      <c r="K10" s="38"/>
      <c r="L10" s="38"/>
      <c r="M10" s="38"/>
      <c r="N10" s="36"/>
      <c r="O10" s="37">
        <v>2025</v>
      </c>
      <c r="P10" s="8" t="s">
        <v>92</v>
      </c>
      <c r="Q10" s="2"/>
      <c r="R10" s="2"/>
      <c r="S10" s="1"/>
      <c r="T10" s="1"/>
    </row>
    <row r="11" spans="6:20" x14ac:dyDescent="0.25">
      <c r="F11" s="34" t="s">
        <v>54</v>
      </c>
      <c r="G11" s="36"/>
      <c r="H11" s="36"/>
      <c r="I11" s="36"/>
      <c r="J11" s="36"/>
      <c r="K11" s="36"/>
      <c r="L11" s="36"/>
      <c r="M11" s="36"/>
      <c r="N11" s="36"/>
      <c r="O11" s="37">
        <v>20</v>
      </c>
      <c r="P11" s="8" t="s">
        <v>71</v>
      </c>
    </row>
    <row r="12" spans="6:20" x14ac:dyDescent="0.25">
      <c r="F12" s="34" t="s">
        <v>50</v>
      </c>
      <c r="G12" s="38"/>
      <c r="H12" s="38"/>
      <c r="I12" s="38"/>
      <c r="J12" s="38"/>
      <c r="K12" s="38"/>
      <c r="L12" s="38"/>
      <c r="M12" s="38"/>
      <c r="N12" s="36"/>
      <c r="O12" s="37">
        <v>2033</v>
      </c>
      <c r="P12" s="8" t="s">
        <v>9</v>
      </c>
      <c r="Q12" s="2"/>
      <c r="R12" s="2"/>
      <c r="S12" s="1"/>
      <c r="T12" s="1"/>
    </row>
    <row r="13" spans="6:20" x14ac:dyDescent="0.25">
      <c r="F13" s="40" t="str">
        <f>IF(COUNTBLANK(O6:O12)=0,CONCATENATE("O I-04 do seu município em ",O10, " é de ",ROUND(F29,1),"%"),"")</f>
        <v>O I-04 do seu município em 2025 é de 100%</v>
      </c>
      <c r="G13" s="40"/>
      <c r="H13" s="40"/>
      <c r="I13" s="40"/>
      <c r="J13" s="40"/>
      <c r="K13" s="40"/>
      <c r="L13" s="40"/>
      <c r="M13" s="40"/>
      <c r="N13" s="40"/>
      <c r="O13" s="40"/>
    </row>
    <row r="15" spans="6:20" x14ac:dyDescent="0.25">
      <c r="F15" s="4" t="s">
        <v>10</v>
      </c>
      <c r="G15" s="11"/>
      <c r="H15" s="11"/>
      <c r="I15" s="11"/>
      <c r="J15" s="11"/>
      <c r="K15" s="2"/>
      <c r="L15" s="2"/>
      <c r="M15" s="2"/>
      <c r="N15" s="2"/>
      <c r="O15" s="2"/>
      <c r="P15" s="2"/>
      <c r="Q15" s="2"/>
      <c r="R15" s="2"/>
      <c r="S15" s="1"/>
      <c r="T15" s="1"/>
    </row>
    <row r="16" spans="6:20" x14ac:dyDescent="0.25">
      <c r="F16" s="50" t="s">
        <v>11</v>
      </c>
      <c r="G16" s="51"/>
      <c r="H16" s="52">
        <v>2025</v>
      </c>
      <c r="I16" s="51">
        <v>2026</v>
      </c>
      <c r="J16" s="52">
        <v>2027</v>
      </c>
      <c r="K16" s="51">
        <v>2028</v>
      </c>
      <c r="L16" s="52">
        <v>2029</v>
      </c>
      <c r="M16" s="51">
        <v>2030</v>
      </c>
      <c r="N16" s="52">
        <v>2031</v>
      </c>
      <c r="O16" s="51">
        <v>2032</v>
      </c>
      <c r="P16" s="53">
        <v>2033</v>
      </c>
      <c r="Q16" s="2"/>
      <c r="R16" s="2"/>
      <c r="S16" s="1"/>
      <c r="T16" s="1"/>
    </row>
    <row r="17" spans="2:20" x14ac:dyDescent="0.25">
      <c r="F17" s="54" t="s">
        <v>12</v>
      </c>
      <c r="G17" s="55"/>
      <c r="H17" s="56">
        <f t="shared" ref="H17:P17" si="0">IF(COUNTBLANK($O$6:$O$12)&lt;&gt;0,"",IF(H16=$O$10,$F$29,IF($O$12&lt;=H16,$O$11,(H16-$O$10)*$G$29+$F$29)))</f>
        <v>100</v>
      </c>
      <c r="I17" s="55">
        <f t="shared" si="0"/>
        <v>90</v>
      </c>
      <c r="J17" s="56">
        <f t="shared" si="0"/>
        <v>80</v>
      </c>
      <c r="K17" s="55">
        <f t="shared" si="0"/>
        <v>70</v>
      </c>
      <c r="L17" s="56">
        <f t="shared" si="0"/>
        <v>60</v>
      </c>
      <c r="M17" s="55">
        <f t="shared" si="0"/>
        <v>50</v>
      </c>
      <c r="N17" s="56">
        <f t="shared" si="0"/>
        <v>40</v>
      </c>
      <c r="O17" s="55">
        <f t="shared" si="0"/>
        <v>30</v>
      </c>
      <c r="P17" s="57">
        <f t="shared" si="0"/>
        <v>20</v>
      </c>
      <c r="Q17" s="2"/>
      <c r="R17" s="2"/>
      <c r="S17" s="1"/>
      <c r="T17" s="1"/>
    </row>
    <row r="18" spans="2:20" x14ac:dyDescent="0.25">
      <c r="F18" s="2"/>
      <c r="G18" s="2"/>
      <c r="H18" s="2"/>
      <c r="I18" s="2"/>
      <c r="J18" s="2"/>
      <c r="K18" s="2"/>
      <c r="L18" s="2"/>
      <c r="M18" s="2"/>
      <c r="N18" s="2"/>
      <c r="O18" s="2"/>
      <c r="P18" s="2"/>
      <c r="Q18" s="2"/>
      <c r="R18" s="2"/>
      <c r="S18" s="1"/>
      <c r="T18" s="1"/>
    </row>
    <row r="19" spans="2:20" x14ac:dyDescent="0.25">
      <c r="F19" s="9" t="s">
        <v>14</v>
      </c>
      <c r="G19" s="10"/>
      <c r="H19" s="10"/>
      <c r="I19" s="10"/>
      <c r="J19" s="2"/>
      <c r="K19" s="2"/>
      <c r="L19" s="2"/>
      <c r="M19" s="2"/>
      <c r="N19" s="2"/>
      <c r="O19" s="2"/>
      <c r="P19" s="2"/>
      <c r="Q19" s="2"/>
      <c r="R19" s="2"/>
      <c r="S19" s="1"/>
      <c r="T19" s="1"/>
    </row>
    <row r="20" spans="2:20" x14ac:dyDescent="0.25">
      <c r="F20" s="50" t="s">
        <v>11</v>
      </c>
      <c r="G20" s="60"/>
      <c r="H20" s="52">
        <v>2025</v>
      </c>
      <c r="I20" s="60">
        <v>2026</v>
      </c>
      <c r="J20" s="52">
        <v>2027</v>
      </c>
      <c r="K20" s="60">
        <v>2028</v>
      </c>
      <c r="L20" s="52">
        <v>2029</v>
      </c>
      <c r="M20" s="60">
        <v>2030</v>
      </c>
      <c r="N20" s="52">
        <v>2031</v>
      </c>
      <c r="O20" s="60">
        <v>2032</v>
      </c>
      <c r="P20" s="53">
        <v>2033</v>
      </c>
      <c r="Q20" s="2"/>
      <c r="R20" s="2"/>
      <c r="S20" s="1"/>
      <c r="T20" s="1"/>
    </row>
    <row r="21" spans="2:20" x14ac:dyDescent="0.25">
      <c r="F21" s="54" t="s">
        <v>12</v>
      </c>
      <c r="G21" s="61"/>
      <c r="H21" s="58">
        <f t="shared" ref="H21:P21" si="1">IF(COUNTBLANK($O$6:$O$12)&lt;&gt;0,"",IF(H20=$O$10,$F$29,IF($O$12&lt;=H20,$O$11,$F$29*$H$29^(H20-$O$10))))</f>
        <v>100</v>
      </c>
      <c r="I21" s="61">
        <f t="shared" si="1"/>
        <v>81.776543395794249</v>
      </c>
      <c r="J21" s="58">
        <f t="shared" si="1"/>
        <v>66.87403049764221</v>
      </c>
      <c r="K21" s="61">
        <f t="shared" si="1"/>
        <v>54.687270570421063</v>
      </c>
      <c r="L21" s="58">
        <f t="shared" si="1"/>
        <v>44.721359549995803</v>
      </c>
      <c r="M21" s="61">
        <f t="shared" si="1"/>
        <v>36.571581999591494</v>
      </c>
      <c r="N21" s="58">
        <f t="shared" si="1"/>
        <v>29.906975624424419</v>
      </c>
      <c r="O21" s="61">
        <f t="shared" si="1"/>
        <v>24.456890899877045</v>
      </c>
      <c r="P21" s="59">
        <f t="shared" si="1"/>
        <v>20</v>
      </c>
      <c r="Q21" s="23">
        <f>P21</f>
        <v>20</v>
      </c>
      <c r="R21" s="2"/>
      <c r="S21" s="1"/>
      <c r="T21" s="1"/>
    </row>
    <row r="22" spans="2:20" x14ac:dyDescent="0.25">
      <c r="F22" s="2"/>
      <c r="Q22" s="2"/>
      <c r="R22" s="2"/>
      <c r="S22" s="1"/>
      <c r="T22" s="1"/>
    </row>
    <row r="23" spans="2:20" x14ac:dyDescent="0.25">
      <c r="F23" s="12" t="s">
        <v>13</v>
      </c>
      <c r="G23" s="12"/>
      <c r="H23" s="12"/>
      <c r="I23" s="12"/>
      <c r="J23" s="2"/>
      <c r="K23" s="2"/>
      <c r="L23" s="2"/>
      <c r="M23" s="2"/>
      <c r="N23" s="2"/>
      <c r="O23" s="2"/>
      <c r="P23" s="2"/>
      <c r="Q23" s="2"/>
      <c r="R23" s="2"/>
      <c r="S23" s="1"/>
      <c r="T23" s="1"/>
    </row>
    <row r="24" spans="2:20" x14ac:dyDescent="0.25">
      <c r="F24" s="50" t="s">
        <v>11</v>
      </c>
      <c r="G24" s="62"/>
      <c r="H24" s="52">
        <v>2025</v>
      </c>
      <c r="I24" s="62">
        <v>2026</v>
      </c>
      <c r="J24" s="52">
        <v>2027</v>
      </c>
      <c r="K24" s="62">
        <v>2028</v>
      </c>
      <c r="L24" s="52">
        <v>2029</v>
      </c>
      <c r="M24" s="62">
        <v>2030</v>
      </c>
      <c r="N24" s="52">
        <v>2031</v>
      </c>
      <c r="O24" s="62">
        <v>2032</v>
      </c>
      <c r="P24" s="53">
        <v>2033</v>
      </c>
      <c r="Q24" s="2"/>
      <c r="R24" s="2"/>
      <c r="S24" s="1"/>
      <c r="T24" s="1"/>
    </row>
    <row r="25" spans="2:20" x14ac:dyDescent="0.25">
      <c r="F25" s="54" t="s">
        <v>12</v>
      </c>
      <c r="G25" s="63"/>
      <c r="H25" s="58">
        <f>IF(COUNTBLANK($O$6:$O$12)&lt;&gt;0,"",IF(H16=$O$10,$F$29,IF($O$12&lt;=H16,$O$11,G25+LARGE($F$31:$P$31,3))))</f>
        <v>100</v>
      </c>
      <c r="I25" s="63">
        <f>IF(COUNTBLANK($O$6:$O$12)&lt;&gt;0,"",IF(I16=$O$10,$F$29,IF($O$12&lt;=I16,$O$11,H25+LARGE($F$31:$P$31,4))))</f>
        <v>94.549915275452634</v>
      </c>
      <c r="J25" s="58">
        <f>IF(COUNTBLANK($O$6:$O$12)&lt;&gt;0,"",IF(J16=$O$10,$F$29,IF($O$12&lt;=J16,$O$11,I25+LARGE($F$31:$P$31,5))))</f>
        <v>87.885308900285565</v>
      </c>
      <c r="K25" s="63">
        <f>IF(COUNTBLANK($O$6:$O$12)&lt;&gt;0,"",IF(K16=$O$10,$F$29,IF($O$12&lt;=K16,$O$11,J25+LARGE($F$31:$P$31,6))))</f>
        <v>79.735531349881256</v>
      </c>
      <c r="L25" s="58">
        <f>IF(COUNTBLANK($O$6:$O$12)&lt;&gt;0,"",IF(L16=$O$10,$F$29,IF($O$12&lt;=L16,$O$11,K25+LARGE($F$31:$P$31,7))))</f>
        <v>69.769620329455989</v>
      </c>
      <c r="M25" s="63">
        <f>IF(COUNTBLANK($O$6:$O$12)&lt;&gt;0,"",IF(M16=$O$10,$F$29,IF($O$12&lt;=M16,$O$11,L25+LARGE($F$31:$P$31,8))))</f>
        <v>57.582860402234843</v>
      </c>
      <c r="N25" s="58">
        <f>IF(COUNTBLANK($O$6:$O$12)&lt;&gt;0,"",IF(N16=$O$10,$F$29,IF($O$12&lt;=N16,$O$11,M25+LARGE($F$31:$P$31,9))))</f>
        <v>42.680347504082803</v>
      </c>
      <c r="O25" s="63">
        <f>IF(COUNTBLANK($O$6:$O$12)&lt;&gt;0,"",IF(O16=$O$10,$F$29,IF($O$12&lt;=O16,$O$11,N25+LARGE($F$31:$P$31,10))))</f>
        <v>24.456890899877052</v>
      </c>
      <c r="P25" s="59">
        <f>IF(COUNTBLANK($O$6:$O$12)&lt;&gt;0,"",IF(P16=$O$10,$F$29,IF($O$12&lt;=P16,$O$11,O25+LARGE($F$31:$P$31,11))))</f>
        <v>20</v>
      </c>
      <c r="Q25" s="22"/>
    </row>
    <row r="26" spans="2:20" x14ac:dyDescent="0.25">
      <c r="F26" s="18"/>
      <c r="G26" s="18"/>
      <c r="H26" s="18"/>
    </row>
    <row r="27" spans="2:20" x14ac:dyDescent="0.25">
      <c r="D27" s="64"/>
      <c r="E27" s="64"/>
      <c r="F27" s="64"/>
      <c r="G27" s="64"/>
      <c r="H27" s="64"/>
      <c r="I27" s="64"/>
      <c r="J27" s="64"/>
      <c r="K27" s="64"/>
      <c r="L27" s="64"/>
      <c r="M27" s="64"/>
      <c r="N27" s="64"/>
      <c r="O27" s="64"/>
      <c r="P27" s="64"/>
      <c r="Q27" s="64"/>
    </row>
    <row r="28" spans="2:20" x14ac:dyDescent="0.25">
      <c r="D28" s="64"/>
      <c r="E28" s="14"/>
      <c r="F28" s="19" t="s">
        <v>15</v>
      </c>
      <c r="G28" s="19" t="s">
        <v>16</v>
      </c>
      <c r="H28" s="19" t="s">
        <v>17</v>
      </c>
      <c r="I28" s="14"/>
      <c r="J28" s="14"/>
      <c r="K28" s="14"/>
      <c r="L28" s="14"/>
      <c r="M28" s="14"/>
      <c r="N28" s="14"/>
      <c r="O28" s="14"/>
      <c r="P28" s="14"/>
      <c r="Q28" s="14"/>
    </row>
    <row r="29" spans="2:20" x14ac:dyDescent="0.25">
      <c r="B29" s="18"/>
      <c r="C29" s="18"/>
      <c r="D29" s="65"/>
      <c r="E29" s="22"/>
      <c r="F29" s="19">
        <f>IF(COUNTBLANK(O6:O8)&lt;&gt;0,"",(100*(O6+O7)/((O8+O9)/2)))</f>
        <v>100</v>
      </c>
      <c r="G29" s="20">
        <f>IF(COUNTBLANK(O6:O12)&lt;&gt;0,"",(O11-F29)/(O12-O10))</f>
        <v>-10</v>
      </c>
      <c r="H29" s="20">
        <f>IF(COUNTBLANK(O6:O12)&lt;&gt;0,"",((O11/F29)^(1/(O12-O10))))</f>
        <v>0.81776543395794254</v>
      </c>
      <c r="I29" s="14"/>
      <c r="J29" s="14"/>
      <c r="K29" s="14"/>
      <c r="L29" s="14"/>
      <c r="M29" s="14"/>
      <c r="N29" s="14"/>
      <c r="O29" s="14"/>
      <c r="P29" s="14"/>
      <c r="Q29" s="14"/>
    </row>
    <row r="30" spans="2:20" x14ac:dyDescent="0.25">
      <c r="D30" s="64"/>
      <c r="E30" s="14"/>
      <c r="F30" s="14"/>
      <c r="G30" s="14"/>
      <c r="H30" s="14"/>
      <c r="I30" s="14"/>
      <c r="J30" s="14"/>
      <c r="K30" s="14"/>
      <c r="L30" s="14"/>
      <c r="M30" s="14"/>
      <c r="N30" s="14"/>
      <c r="O30" s="14"/>
      <c r="P30" s="14"/>
      <c r="Q30" s="14"/>
    </row>
    <row r="31" spans="2:20" x14ac:dyDescent="0.25">
      <c r="D31" s="64"/>
      <c r="E31" s="13" t="s">
        <v>28</v>
      </c>
      <c r="F31" s="16">
        <f>H21-F29</f>
        <v>0</v>
      </c>
      <c r="G31" s="16" t="str">
        <f>IF((H21-G21)&gt;0,"0,0",H21-G21)</f>
        <v>0,0</v>
      </c>
      <c r="H31" s="16">
        <f t="shared" ref="H31:P31" si="2">IF((I21-H21)&gt;0,"0,0",I21-H21)</f>
        <v>-18.223456604205751</v>
      </c>
      <c r="I31" s="16">
        <f t="shared" si="2"/>
        <v>-14.90251289815204</v>
      </c>
      <c r="J31" s="16">
        <f t="shared" si="2"/>
        <v>-12.186759927221146</v>
      </c>
      <c r="K31" s="16">
        <f t="shared" si="2"/>
        <v>-9.9659110204252599</v>
      </c>
      <c r="L31" s="16">
        <f t="shared" si="2"/>
        <v>-8.1497775504043091</v>
      </c>
      <c r="M31" s="16">
        <f t="shared" si="2"/>
        <v>-6.6646063751670752</v>
      </c>
      <c r="N31" s="16">
        <f t="shared" si="2"/>
        <v>-5.4500847245473736</v>
      </c>
      <c r="O31" s="16">
        <f t="shared" si="2"/>
        <v>-4.4568908998770453</v>
      </c>
      <c r="P31" s="16">
        <f t="shared" si="2"/>
        <v>0</v>
      </c>
      <c r="Q31" s="14"/>
    </row>
    <row r="32" spans="2:20" x14ac:dyDescent="0.25">
      <c r="D32" s="64"/>
      <c r="E32" s="64"/>
      <c r="F32" s="64"/>
      <c r="G32" s="64"/>
      <c r="H32" s="64"/>
      <c r="I32" s="64"/>
      <c r="J32" s="64"/>
      <c r="K32" s="64"/>
      <c r="L32" s="64"/>
      <c r="M32" s="64"/>
      <c r="N32" s="64"/>
      <c r="O32" s="64"/>
      <c r="P32" s="64"/>
      <c r="Q32" s="64"/>
    </row>
    <row r="33" spans="4:17" x14ac:dyDescent="0.25">
      <c r="D33" s="64"/>
      <c r="E33" s="64"/>
      <c r="F33" s="64"/>
      <c r="G33" s="64"/>
      <c r="H33" s="64"/>
      <c r="I33" s="64"/>
      <c r="J33" s="64"/>
      <c r="K33" s="64"/>
      <c r="L33" s="64"/>
      <c r="M33" s="64"/>
      <c r="N33" s="64"/>
      <c r="O33" s="64"/>
      <c r="P33" s="64"/>
      <c r="Q33" s="14"/>
    </row>
    <row r="34" spans="4:17" x14ac:dyDescent="0.25">
      <c r="D34" s="64"/>
      <c r="E34" s="64"/>
      <c r="F34" s="64"/>
      <c r="G34" s="64"/>
      <c r="H34" s="64"/>
      <c r="I34" s="64"/>
      <c r="J34" s="64"/>
      <c r="K34" s="64"/>
      <c r="L34" s="64"/>
      <c r="M34" s="64"/>
      <c r="N34" s="64"/>
      <c r="O34" s="64"/>
      <c r="P34" s="64"/>
      <c r="Q34" s="64"/>
    </row>
    <row r="35" spans="4:17" x14ac:dyDescent="0.25">
      <c r="D35" s="64"/>
      <c r="E35" s="64"/>
      <c r="F35" s="64"/>
      <c r="G35" s="64"/>
      <c r="H35" s="64"/>
      <c r="I35" s="64"/>
      <c r="J35" s="64"/>
      <c r="K35" s="64"/>
      <c r="L35" s="64"/>
      <c r="M35" s="64"/>
      <c r="N35" s="64"/>
      <c r="O35" s="64"/>
      <c r="P35" s="64"/>
      <c r="Q35" s="64"/>
    </row>
    <row r="36" spans="4:17" x14ac:dyDescent="0.25">
      <c r="D36" s="64"/>
      <c r="E36" s="64"/>
      <c r="F36" s="64"/>
      <c r="G36" s="64"/>
      <c r="H36" s="64"/>
      <c r="I36" s="64"/>
      <c r="J36" s="64"/>
      <c r="K36" s="64"/>
      <c r="L36" s="64"/>
      <c r="M36" s="64"/>
      <c r="N36" s="64"/>
      <c r="O36" s="64"/>
      <c r="P36" s="64"/>
      <c r="Q36" s="64"/>
    </row>
    <row r="37" spans="4:17" x14ac:dyDescent="0.25">
      <c r="D37" s="64"/>
      <c r="E37" s="64"/>
      <c r="F37" s="64"/>
      <c r="G37" s="64"/>
      <c r="H37" s="64"/>
      <c r="I37" s="64"/>
      <c r="J37" s="64"/>
      <c r="K37" s="64"/>
      <c r="L37" s="64"/>
      <c r="M37" s="64"/>
      <c r="N37" s="64"/>
      <c r="O37" s="64"/>
      <c r="P37" s="64"/>
      <c r="Q37" s="64"/>
    </row>
    <row r="38" spans="4:17" x14ac:dyDescent="0.25">
      <c r="D38" s="64"/>
      <c r="E38" s="64"/>
      <c r="F38" s="64"/>
      <c r="G38" s="64"/>
      <c r="H38" s="64"/>
      <c r="I38" s="64"/>
      <c r="J38" s="64"/>
      <c r="K38" s="64"/>
      <c r="L38" s="64"/>
      <c r="M38" s="64"/>
      <c r="N38" s="64"/>
      <c r="O38" s="64"/>
      <c r="P38" s="64"/>
      <c r="Q38" s="64"/>
    </row>
  </sheetData>
  <sheetProtection algorithmName="SHA-512" hashValue="/mHKwCJN4RQH05r3rQOfDyFeAoK/85vOdgRplLOQh3JwpelLuNJgaGLWfbE3HLJZGgEmSTRNE4WpPA6haXGsYQ==" saltValue="eOb/J5a5QmLcOt7gdqhAyg==" spinCount="100000" sheet="1" objects="1" scenarios="1" selectLockedCells="1"/>
  <dataValidations count="1">
    <dataValidation type="whole" errorStyle="warning" allowBlank="1" showDropDown="1" showInputMessage="1" showErrorMessage="1" errorTitle="Ano inválido" error="É recomendado que sejam inseridas informações de 2020, 2021, 2022, 2023 ou 2024." sqref="O10" xr:uid="{00000000-0002-0000-0800-000001000000}">
      <formula1>2021</formula1>
      <formula2>2025</formula2>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800-000000000000}">
          <x14:formula1>
            <xm:f>Auxiliar!$B$2:$B$9</xm:f>
          </x14:formula1>
          <xm:sqref>O12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Introdução</vt:lpstr>
      <vt:lpstr>IAA</vt:lpstr>
      <vt:lpstr>ICA</vt:lpstr>
      <vt:lpstr>IAE</vt:lpstr>
      <vt:lpstr>ICE</vt:lpstr>
      <vt:lpstr>I-01</vt:lpstr>
      <vt:lpstr>I-02</vt:lpstr>
      <vt:lpstr>I-03</vt:lpstr>
      <vt:lpstr>I-04</vt:lpstr>
      <vt:lpstr>I-05</vt:lpstr>
      <vt:lpstr>Fichas</vt:lpstr>
      <vt:lpstr>Auxiliar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Otavio Hamdan</dc:creator>
  <cp:keywords/>
  <dc:description/>
  <cp:lastModifiedBy>Yasmin</cp:lastModifiedBy>
  <cp:revision/>
  <dcterms:created xsi:type="dcterms:W3CDTF">2024-09-27T15:40:59Z</dcterms:created>
  <dcterms:modified xsi:type="dcterms:W3CDTF">2026-04-22T16:43:40Z</dcterms:modified>
  <cp:category/>
  <cp:contentStatus/>
</cp:coreProperties>
</file>